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.unbc.ca\chenj\public_html\course\422\notes\"/>
    </mc:Choice>
  </mc:AlternateContent>
  <xr:revisionPtr revIDLastSave="0" documentId="8_{E365DF67-64B5-4438-B0D7-70D561266F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netary Policy" sheetId="18" r:id="rId1"/>
    <sheet name="HFixedCost" sheetId="3" r:id="rId2"/>
    <sheet name="HDiscounting" sheetId="15" r:id="rId3"/>
    <sheet name="HAsset" sheetId="16" r:id="rId4"/>
    <sheet name="HFinancingOptions" sheetId="17" r:id="rId5"/>
    <sheet name="HRiskProfit" sheetId="6" r:id="rId6"/>
    <sheet name="HLimitedLiability" sheetId="10" r:id="rId7"/>
    <sheet name="HSustainability" sheetId="4" r:id="rId8"/>
    <sheet name="Discounting2" sheetId="13" r:id="rId9"/>
    <sheet name="Discounting" sheetId="11" r:id="rId10"/>
    <sheet name="Discounting3" sheetId="14" r:id="rId11"/>
    <sheet name="RiskProfit" sheetId="9" r:id="rId12"/>
    <sheet name="FixedCostSlides" sheetId="7" r:id="rId13"/>
    <sheet name="LimitedLiabilitySlides" sheetId="8" r:id="rId14"/>
  </sheets>
  <definedNames>
    <definedName name="solver_adj" localSheetId="4" hidden="1">HFinancingOptions!$B$28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HFinancingOptions!$B$29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26.125</definedName>
    <definedName name="solver_ver" localSheetId="4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8" l="1"/>
  <c r="B9" i="18"/>
  <c r="B7" i="18"/>
  <c r="B4" i="18"/>
  <c r="B5" i="18" s="1"/>
  <c r="C40" i="18"/>
  <c r="B40" i="18"/>
  <c r="C38" i="18"/>
  <c r="B38" i="18"/>
  <c r="B30" i="18"/>
  <c r="B27" i="18"/>
  <c r="B24" i="18"/>
  <c r="F137" i="3"/>
  <c r="B137" i="3"/>
  <c r="F136" i="3"/>
  <c r="F138" i="3"/>
  <c r="B136" i="3"/>
  <c r="B138" i="3"/>
  <c r="F126" i="3"/>
  <c r="F127" i="3"/>
  <c r="B126" i="3"/>
  <c r="B127" i="3"/>
  <c r="F125" i="3"/>
  <c r="B125" i="3"/>
  <c r="G49" i="17"/>
  <c r="G51" i="17"/>
  <c r="I51" i="17"/>
  <c r="G48" i="17"/>
  <c r="G50" i="17"/>
  <c r="G41" i="17"/>
  <c r="G35" i="17"/>
  <c r="G38" i="17"/>
  <c r="G34" i="17"/>
  <c r="G31" i="17"/>
  <c r="G30" i="17"/>
  <c r="G29" i="17"/>
  <c r="G27" i="17"/>
  <c r="B51" i="17"/>
  <c r="B50" i="17"/>
  <c r="B49" i="17"/>
  <c r="B48" i="17"/>
  <c r="B31" i="17"/>
  <c r="B30" i="17"/>
  <c r="B39" i="17"/>
  <c r="B38" i="17"/>
  <c r="B37" i="17"/>
  <c r="B35" i="17"/>
  <c r="B34" i="17"/>
  <c r="B41" i="17"/>
  <c r="B29" i="17"/>
  <c r="B27" i="17"/>
  <c r="B192" i="16"/>
  <c r="B191" i="16"/>
  <c r="B190" i="16"/>
  <c r="I133" i="17"/>
  <c r="K137" i="17"/>
  <c r="J130" i="17"/>
  <c r="I132" i="17"/>
  <c r="H130" i="17"/>
  <c r="G132" i="17"/>
  <c r="E130" i="17"/>
  <c r="D132" i="17"/>
  <c r="C130" i="17"/>
  <c r="B132" i="17"/>
  <c r="I128" i="17"/>
  <c r="D128" i="17"/>
  <c r="I127" i="17"/>
  <c r="I137" i="17"/>
  <c r="I139" i="17"/>
  <c r="G127" i="17"/>
  <c r="G141" i="17"/>
  <c r="B127" i="17"/>
  <c r="I126" i="17"/>
  <c r="D126" i="17"/>
  <c r="G118" i="17"/>
  <c r="G120" i="17"/>
  <c r="I114" i="17"/>
  <c r="J111" i="17"/>
  <c r="I113" i="17"/>
  <c r="H111" i="17"/>
  <c r="G113" i="17"/>
  <c r="E111" i="17"/>
  <c r="D113" i="17"/>
  <c r="C111" i="17"/>
  <c r="B113" i="17"/>
  <c r="I109" i="17"/>
  <c r="D109" i="17"/>
  <c r="D118" i="17"/>
  <c r="D120" i="17"/>
  <c r="D122" i="17"/>
  <c r="G108" i="17"/>
  <c r="I108" i="17"/>
  <c r="D108" i="17"/>
  <c r="B108" i="17"/>
  <c r="I107" i="17"/>
  <c r="D107" i="17"/>
  <c r="D101" i="17"/>
  <c r="C101" i="17"/>
  <c r="B101" i="17"/>
  <c r="D100" i="17"/>
  <c r="C100" i="17"/>
  <c r="B100" i="17"/>
  <c r="B95" i="17"/>
  <c r="B89" i="17"/>
  <c r="B90" i="17"/>
  <c r="B88" i="17"/>
  <c r="B12" i="17"/>
  <c r="B10" i="17"/>
  <c r="B11" i="17"/>
  <c r="B9" i="17"/>
  <c r="B5" i="17"/>
  <c r="B3" i="17"/>
  <c r="B4" i="17"/>
  <c r="B2" i="17"/>
  <c r="B79" i="6"/>
  <c r="B80" i="6"/>
  <c r="B82" i="6"/>
  <c r="B83" i="6"/>
  <c r="B85" i="6"/>
  <c r="B73" i="6"/>
  <c r="B74" i="6"/>
  <c r="B75" i="6"/>
  <c r="B112" i="15"/>
  <c r="B110" i="15"/>
  <c r="B109" i="15"/>
  <c r="B111" i="15"/>
  <c r="B106" i="15"/>
  <c r="B104" i="15"/>
  <c r="B105" i="15"/>
  <c r="B103" i="15"/>
  <c r="B54" i="16"/>
  <c r="B51" i="16"/>
  <c r="B49" i="16"/>
  <c r="B55" i="16"/>
  <c r="B48" i="16"/>
  <c r="B52" i="16"/>
  <c r="B40" i="16"/>
  <c r="B38" i="16"/>
  <c r="F33" i="16"/>
  <c r="F34" i="16"/>
  <c r="B33" i="16"/>
  <c r="F31" i="16"/>
  <c r="B31" i="16"/>
  <c r="B28" i="16"/>
  <c r="B29" i="16"/>
  <c r="B34" i="16"/>
  <c r="F26" i="16"/>
  <c r="F28" i="16"/>
  <c r="F21" i="16"/>
  <c r="B21" i="16"/>
  <c r="F19" i="16"/>
  <c r="B19" i="16"/>
  <c r="F16" i="16"/>
  <c r="F17" i="16"/>
  <c r="F22" i="16"/>
  <c r="B16" i="16"/>
  <c r="B17" i="16"/>
  <c r="B22" i="16"/>
  <c r="B10" i="16"/>
  <c r="B8" i="16"/>
  <c r="B5" i="16"/>
  <c r="B6" i="16"/>
  <c r="B11" i="16"/>
  <c r="D149" i="15"/>
  <c r="I149" i="15"/>
  <c r="B150" i="15"/>
  <c r="B160" i="15"/>
  <c r="B162" i="15"/>
  <c r="B164" i="15"/>
  <c r="G150" i="15"/>
  <c r="D151" i="15"/>
  <c r="I151" i="15"/>
  <c r="C153" i="15"/>
  <c r="E153" i="15"/>
  <c r="D155" i="15"/>
  <c r="H153" i="15"/>
  <c r="J153" i="15"/>
  <c r="I155" i="15"/>
  <c r="B155" i="15"/>
  <c r="I156" i="15"/>
  <c r="D168" i="15"/>
  <c r="I168" i="15"/>
  <c r="B169" i="15"/>
  <c r="D169" i="15"/>
  <c r="D179" i="15"/>
  <c r="D181" i="15"/>
  <c r="G169" i="15"/>
  <c r="G179" i="15"/>
  <c r="D170" i="15"/>
  <c r="I170" i="15"/>
  <c r="C172" i="15"/>
  <c r="E172" i="15"/>
  <c r="H172" i="15"/>
  <c r="G174" i="15"/>
  <c r="J172" i="15"/>
  <c r="B174" i="15"/>
  <c r="D174" i="15"/>
  <c r="I174" i="15"/>
  <c r="I175" i="15"/>
  <c r="C43" i="15"/>
  <c r="B43" i="15"/>
  <c r="B46" i="15"/>
  <c r="C42" i="15"/>
  <c r="C46" i="15"/>
  <c r="B42" i="15"/>
  <c r="C41" i="15"/>
  <c r="B41" i="15"/>
  <c r="C39" i="15"/>
  <c r="B39" i="15"/>
  <c r="B71" i="14"/>
  <c r="B73" i="14"/>
  <c r="B68" i="14"/>
  <c r="B65" i="14"/>
  <c r="B96" i="13"/>
  <c r="C96" i="13"/>
  <c r="D96" i="13"/>
  <c r="E96" i="13"/>
  <c r="F96" i="13"/>
  <c r="G96" i="13"/>
  <c r="H96" i="13"/>
  <c r="I96" i="13"/>
  <c r="J96" i="13"/>
  <c r="K96" i="13"/>
  <c r="L96" i="13"/>
  <c r="D100" i="13"/>
  <c r="E100" i="13"/>
  <c r="E102" i="13"/>
  <c r="I100" i="13"/>
  <c r="J100" i="13"/>
  <c r="K100" i="13"/>
  <c r="B102" i="13"/>
  <c r="C102" i="13"/>
  <c r="F102" i="13"/>
  <c r="G102" i="13"/>
  <c r="H102" i="13"/>
  <c r="I102" i="13"/>
  <c r="B114" i="13"/>
  <c r="C114" i="13"/>
  <c r="D112" i="13"/>
  <c r="D114" i="13"/>
  <c r="E112" i="13"/>
  <c r="E114" i="13"/>
  <c r="F114" i="13"/>
  <c r="G112" i="13"/>
  <c r="G114" i="13"/>
  <c r="H114" i="13"/>
  <c r="I112" i="13"/>
  <c r="I114" i="13"/>
  <c r="J112" i="13"/>
  <c r="J114" i="13"/>
  <c r="B108" i="13"/>
  <c r="B109" i="13"/>
  <c r="C108" i="13"/>
  <c r="D108" i="13"/>
  <c r="E108" i="13"/>
  <c r="F108" i="13"/>
  <c r="G108" i="13"/>
  <c r="H108" i="13"/>
  <c r="I108" i="13"/>
  <c r="J108" i="13"/>
  <c r="K108" i="13"/>
  <c r="L108" i="13"/>
  <c r="B89" i="13"/>
  <c r="C89" i="13"/>
  <c r="D87" i="13"/>
  <c r="B83" i="13"/>
  <c r="C83" i="13"/>
  <c r="D83" i="13"/>
  <c r="E83" i="13"/>
  <c r="F83" i="13"/>
  <c r="G83" i="13"/>
  <c r="H83" i="13"/>
  <c r="I83" i="13"/>
  <c r="J83" i="13"/>
  <c r="K83" i="13"/>
  <c r="L83" i="13"/>
  <c r="B77" i="13"/>
  <c r="C77" i="13"/>
  <c r="D75" i="13"/>
  <c r="B71" i="13"/>
  <c r="C71" i="13"/>
  <c r="D71" i="13"/>
  <c r="E71" i="13"/>
  <c r="B72" i="13"/>
  <c r="F71" i="13"/>
  <c r="G71" i="13"/>
  <c r="H71" i="13"/>
  <c r="I71" i="13"/>
  <c r="J71" i="13"/>
  <c r="K71" i="13"/>
  <c r="L71" i="13"/>
  <c r="B47" i="10"/>
  <c r="C42" i="10"/>
  <c r="B46" i="10"/>
  <c r="B37" i="10"/>
  <c r="B36" i="10"/>
  <c r="B22" i="10"/>
  <c r="B12" i="10"/>
  <c r="B11" i="10"/>
  <c r="B96" i="15"/>
  <c r="C96" i="15"/>
  <c r="D94" i="15"/>
  <c r="D96" i="15"/>
  <c r="H96" i="15"/>
  <c r="I94" i="15"/>
  <c r="J94" i="15"/>
  <c r="B90" i="15"/>
  <c r="C90" i="15"/>
  <c r="D90" i="15"/>
  <c r="E90" i="15"/>
  <c r="F90" i="15"/>
  <c r="G90" i="15"/>
  <c r="H90" i="15"/>
  <c r="I90" i="15"/>
  <c r="J90" i="15"/>
  <c r="K90" i="15"/>
  <c r="L90" i="15"/>
  <c r="B84" i="15"/>
  <c r="C84" i="15"/>
  <c r="D82" i="15"/>
  <c r="D84" i="15"/>
  <c r="H84" i="15"/>
  <c r="I82" i="15"/>
  <c r="I84" i="15"/>
  <c r="B78" i="15"/>
  <c r="C78" i="15"/>
  <c r="D78" i="15"/>
  <c r="E78" i="15"/>
  <c r="F78" i="15"/>
  <c r="G78" i="15"/>
  <c r="H78" i="15"/>
  <c r="I78" i="15"/>
  <c r="B79" i="15"/>
  <c r="J78" i="15"/>
  <c r="K78" i="15"/>
  <c r="L78" i="15"/>
  <c r="B71" i="15"/>
  <c r="C71" i="15"/>
  <c r="D69" i="15"/>
  <c r="D71" i="15"/>
  <c r="B65" i="15"/>
  <c r="B66" i="15"/>
  <c r="C65" i="15"/>
  <c r="D65" i="15"/>
  <c r="E65" i="15"/>
  <c r="F65" i="15"/>
  <c r="G65" i="15"/>
  <c r="H65" i="15"/>
  <c r="I65" i="15"/>
  <c r="J65" i="15"/>
  <c r="K65" i="15"/>
  <c r="L65" i="15"/>
  <c r="B59" i="15"/>
  <c r="C59" i="15"/>
  <c r="D57" i="15"/>
  <c r="D59" i="15"/>
  <c r="B53" i="15"/>
  <c r="C53" i="15"/>
  <c r="D53" i="15"/>
  <c r="E53" i="15"/>
  <c r="F53" i="15"/>
  <c r="G53" i="15"/>
  <c r="H53" i="15"/>
  <c r="I53" i="15"/>
  <c r="J53" i="15"/>
  <c r="K53" i="15"/>
  <c r="L53" i="15"/>
  <c r="E23" i="15"/>
  <c r="E32" i="15"/>
  <c r="E33" i="15"/>
  <c r="F26" i="15"/>
  <c r="E28" i="15"/>
  <c r="B23" i="15"/>
  <c r="B32" i="15"/>
  <c r="B33" i="15"/>
  <c r="C26" i="15"/>
  <c r="B28" i="15"/>
  <c r="E16" i="15"/>
  <c r="B16" i="15"/>
  <c r="F7" i="15"/>
  <c r="C7" i="15"/>
  <c r="B9" i="15"/>
  <c r="C17" i="10"/>
  <c r="B21" i="10"/>
  <c r="F43" i="14"/>
  <c r="C44" i="14"/>
  <c r="F44" i="14"/>
  <c r="F45" i="14"/>
  <c r="C58" i="14"/>
  <c r="G47" i="14"/>
  <c r="F49" i="14"/>
  <c r="C54" i="14"/>
  <c r="D47" i="14"/>
  <c r="F50" i="14"/>
  <c r="P4" i="14"/>
  <c r="P14" i="14"/>
  <c r="P16" i="14"/>
  <c r="Q7" i="14"/>
  <c r="P9" i="14"/>
  <c r="M4" i="14"/>
  <c r="N7" i="14"/>
  <c r="M9" i="14"/>
  <c r="J4" i="14"/>
  <c r="J14" i="14"/>
  <c r="K7" i="14"/>
  <c r="F4" i="14"/>
  <c r="F14" i="14"/>
  <c r="F16" i="14"/>
  <c r="G7" i="14"/>
  <c r="F9" i="14"/>
  <c r="C4" i="14"/>
  <c r="C14" i="14"/>
  <c r="C16" i="14"/>
  <c r="C18" i="14"/>
  <c r="D7" i="14"/>
  <c r="C25" i="14"/>
  <c r="J25" i="14"/>
  <c r="J26" i="14"/>
  <c r="K28" i="14"/>
  <c r="J30" i="14"/>
  <c r="J24" i="14"/>
  <c r="F24" i="14"/>
  <c r="F26" i="14"/>
  <c r="G28" i="14"/>
  <c r="F30" i="14"/>
  <c r="D28" i="14"/>
  <c r="C30" i="14"/>
  <c r="F31" i="14"/>
  <c r="H35" i="14"/>
  <c r="J31" i="14"/>
  <c r="C9" i="14"/>
  <c r="C47" i="13"/>
  <c r="J47" i="13"/>
  <c r="J48" i="13"/>
  <c r="K50" i="13"/>
  <c r="J52" i="13"/>
  <c r="J46" i="13"/>
  <c r="J62" i="13"/>
  <c r="F46" i="13"/>
  <c r="F62" i="13"/>
  <c r="F48" i="13"/>
  <c r="C62" i="13"/>
  <c r="G50" i="13"/>
  <c r="F52" i="13"/>
  <c r="D50" i="13"/>
  <c r="F53" i="13"/>
  <c r="J53" i="13"/>
  <c r="C26" i="13"/>
  <c r="J26" i="13"/>
  <c r="J27" i="13"/>
  <c r="K29" i="13"/>
  <c r="J25" i="13"/>
  <c r="J41" i="13"/>
  <c r="J32" i="13"/>
  <c r="J31" i="13"/>
  <c r="F26" i="13"/>
  <c r="F25" i="13"/>
  <c r="F27" i="13"/>
  <c r="F36" i="13"/>
  <c r="F38" i="13"/>
  <c r="C40" i="13"/>
  <c r="C41" i="13"/>
  <c r="C42" i="13"/>
  <c r="G29" i="13"/>
  <c r="C36" i="13"/>
  <c r="C38" i="13"/>
  <c r="D29" i="13"/>
  <c r="F32" i="13"/>
  <c r="H36" i="13"/>
  <c r="F31" i="13"/>
  <c r="C5" i="13"/>
  <c r="F5" i="13"/>
  <c r="F4" i="13"/>
  <c r="F20" i="13"/>
  <c r="F6" i="13"/>
  <c r="C20" i="13"/>
  <c r="G8" i="13"/>
  <c r="D8" i="13"/>
  <c r="C10" i="13"/>
  <c r="F11" i="13"/>
  <c r="P57" i="11"/>
  <c r="S57" i="11"/>
  <c r="S67" i="11"/>
  <c r="S69" i="11"/>
  <c r="S56" i="11"/>
  <c r="S72" i="11"/>
  <c r="S58" i="11"/>
  <c r="P72" i="11"/>
  <c r="I57" i="11"/>
  <c r="L57" i="11"/>
  <c r="L56" i="11"/>
  <c r="L72" i="11"/>
  <c r="L73" i="11"/>
  <c r="L58" i="11"/>
  <c r="I72" i="11"/>
  <c r="B57" i="11"/>
  <c r="E57" i="11"/>
  <c r="E56" i="11"/>
  <c r="E58" i="11"/>
  <c r="E72" i="11"/>
  <c r="B72" i="11"/>
  <c r="T60" i="11"/>
  <c r="Q60" i="11"/>
  <c r="P62" i="11"/>
  <c r="M60" i="11"/>
  <c r="L62" i="11"/>
  <c r="J60" i="11"/>
  <c r="I62" i="11"/>
  <c r="F60" i="11"/>
  <c r="C60" i="11"/>
  <c r="B62" i="11"/>
  <c r="S63" i="11"/>
  <c r="L63" i="11"/>
  <c r="E63" i="11"/>
  <c r="S62" i="11"/>
  <c r="P36" i="11"/>
  <c r="S35" i="11"/>
  <c r="S51" i="11"/>
  <c r="S37" i="11"/>
  <c r="P51" i="11"/>
  <c r="T39" i="11"/>
  <c r="S41" i="11"/>
  <c r="Q39" i="11"/>
  <c r="P41" i="11"/>
  <c r="S42" i="11"/>
  <c r="L35" i="11"/>
  <c r="L51" i="11"/>
  <c r="L37" i="11"/>
  <c r="I51" i="11"/>
  <c r="I52" i="11"/>
  <c r="I36" i="11"/>
  <c r="M39" i="11"/>
  <c r="L41" i="11"/>
  <c r="J39" i="11"/>
  <c r="I41" i="11"/>
  <c r="L42" i="11"/>
  <c r="E37" i="11"/>
  <c r="E42" i="11"/>
  <c r="G46" i="11"/>
  <c r="E35" i="11"/>
  <c r="K30" i="11"/>
  <c r="K17" i="11"/>
  <c r="L20" i="11"/>
  <c r="K22" i="11"/>
  <c r="H30" i="11"/>
  <c r="H17" i="11"/>
  <c r="I20" i="11"/>
  <c r="H22" i="11"/>
  <c r="E30" i="11"/>
  <c r="E17" i="11"/>
  <c r="E26" i="11"/>
  <c r="E27" i="11"/>
  <c r="E29" i="11"/>
  <c r="F20" i="11"/>
  <c r="E22" i="11"/>
  <c r="B51" i="11"/>
  <c r="B36" i="11"/>
  <c r="B46" i="11"/>
  <c r="B48" i="11"/>
  <c r="C39" i="11"/>
  <c r="F39" i="11"/>
  <c r="E41" i="11"/>
  <c r="B41" i="11"/>
  <c r="B30" i="11"/>
  <c r="B17" i="11"/>
  <c r="B26" i="11"/>
  <c r="C20" i="11"/>
  <c r="B22" i="11"/>
  <c r="B17" i="6"/>
  <c r="B21" i="6"/>
  <c r="B19" i="6"/>
  <c r="B18" i="6"/>
  <c r="B7" i="6"/>
  <c r="B9" i="6"/>
  <c r="B23" i="6"/>
  <c r="B10" i="6"/>
  <c r="B11" i="6"/>
  <c r="B13" i="6"/>
  <c r="B114" i="11"/>
  <c r="B115" i="11"/>
  <c r="B108" i="11"/>
  <c r="B109" i="11"/>
  <c r="D85" i="11"/>
  <c r="E85" i="11"/>
  <c r="M79" i="11"/>
  <c r="B99" i="11"/>
  <c r="C99" i="11"/>
  <c r="D97" i="11"/>
  <c r="E97" i="11"/>
  <c r="D99" i="11"/>
  <c r="B93" i="11"/>
  <c r="C93" i="11"/>
  <c r="D93" i="11"/>
  <c r="E93" i="11"/>
  <c r="F93" i="11"/>
  <c r="G93" i="11"/>
  <c r="H93" i="11"/>
  <c r="I93" i="11"/>
  <c r="J93" i="11"/>
  <c r="K93" i="11"/>
  <c r="L93" i="11"/>
  <c r="B87" i="11"/>
  <c r="C87" i="11"/>
  <c r="D87" i="11"/>
  <c r="B81" i="11"/>
  <c r="C81" i="11"/>
  <c r="D81" i="11"/>
  <c r="E81" i="11"/>
  <c r="F81" i="11"/>
  <c r="G81" i="11"/>
  <c r="B82" i="11"/>
  <c r="H81" i="11"/>
  <c r="I81" i="11"/>
  <c r="J81" i="11"/>
  <c r="K81" i="11"/>
  <c r="L81" i="11"/>
  <c r="F4" i="11"/>
  <c r="E6" i="11"/>
  <c r="E12" i="11"/>
  <c r="E10" i="11"/>
  <c r="B10" i="11"/>
  <c r="C4" i="11"/>
  <c r="B6" i="11"/>
  <c r="B12" i="11"/>
  <c r="E16" i="9"/>
  <c r="E20" i="9"/>
  <c r="E18" i="9"/>
  <c r="E36" i="9"/>
  <c r="E39" i="9"/>
  <c r="E40" i="9"/>
  <c r="E42" i="9"/>
  <c r="E17" i="9"/>
  <c r="E6" i="9"/>
  <c r="E19" i="9"/>
  <c r="E22" i="9"/>
  <c r="E9" i="9"/>
  <c r="E10" i="9"/>
  <c r="E12" i="9"/>
  <c r="B6" i="9"/>
  <c r="B16" i="9"/>
  <c r="B20" i="9"/>
  <c r="B23" i="9"/>
  <c r="B9" i="9"/>
  <c r="B10" i="9"/>
  <c r="B12" i="9"/>
  <c r="B22" i="9"/>
  <c r="B26" i="9"/>
  <c r="B18" i="9"/>
  <c r="B17" i="9"/>
  <c r="C6" i="8"/>
  <c r="D6" i="8"/>
  <c r="B6" i="8"/>
  <c r="B2" i="8"/>
  <c r="B5" i="8"/>
  <c r="C5" i="8"/>
  <c r="C95" i="6"/>
  <c r="B97" i="6"/>
  <c r="C91" i="6"/>
  <c r="B93" i="6"/>
  <c r="D46" i="7"/>
  <c r="E46" i="7"/>
  <c r="D48" i="7"/>
  <c r="C48" i="7"/>
  <c r="L42" i="7"/>
  <c r="K42" i="7"/>
  <c r="J42" i="7"/>
  <c r="I42" i="7"/>
  <c r="H42" i="7"/>
  <c r="G42" i="7"/>
  <c r="F42" i="7"/>
  <c r="E42" i="7"/>
  <c r="D42" i="7"/>
  <c r="C42" i="7"/>
  <c r="D34" i="7"/>
  <c r="D36" i="7"/>
  <c r="C36" i="7"/>
  <c r="D30" i="7"/>
  <c r="E30" i="7"/>
  <c r="F30" i="7"/>
  <c r="G30" i="7"/>
  <c r="B31" i="7"/>
  <c r="H30" i="7"/>
  <c r="I30" i="7"/>
  <c r="J30" i="7"/>
  <c r="K30" i="7"/>
  <c r="L30" i="7"/>
  <c r="C30" i="7"/>
  <c r="B48" i="7"/>
  <c r="B42" i="7"/>
  <c r="B43" i="7"/>
  <c r="B36" i="7"/>
  <c r="B30" i="7"/>
  <c r="H16" i="7"/>
  <c r="I16" i="7"/>
  <c r="J16" i="7"/>
  <c r="K16" i="7"/>
  <c r="L16" i="7"/>
  <c r="B10" i="7"/>
  <c r="C10" i="7"/>
  <c r="D8" i="7"/>
  <c r="B4" i="7"/>
  <c r="C4" i="7"/>
  <c r="D4" i="7"/>
  <c r="E4" i="7"/>
  <c r="F4" i="7"/>
  <c r="G4" i="7"/>
  <c r="B22" i="7"/>
  <c r="C22" i="7"/>
  <c r="D20" i="7"/>
  <c r="D22" i="7"/>
  <c r="E20" i="7"/>
  <c r="B16" i="7"/>
  <c r="C16" i="7"/>
  <c r="B17" i="7"/>
  <c r="D16" i="7"/>
  <c r="E16" i="7"/>
  <c r="F16" i="7"/>
  <c r="G16" i="7"/>
  <c r="B105" i="6"/>
  <c r="D108" i="6"/>
  <c r="H36" i="4"/>
  <c r="G36" i="4"/>
  <c r="F36" i="4"/>
  <c r="E36" i="4"/>
  <c r="D36" i="4"/>
  <c r="C36" i="4"/>
  <c r="B36" i="4"/>
  <c r="G35" i="4"/>
  <c r="H35" i="4"/>
  <c r="I35" i="4"/>
  <c r="E35" i="4"/>
  <c r="D35" i="4"/>
  <c r="C35" i="4"/>
  <c r="B35" i="4"/>
  <c r="D34" i="4"/>
  <c r="E34" i="4"/>
  <c r="F34" i="4"/>
  <c r="G34" i="4"/>
  <c r="H34" i="4"/>
  <c r="I34" i="4"/>
  <c r="B34" i="4"/>
  <c r="H27" i="4"/>
  <c r="G27" i="4"/>
  <c r="F27" i="4"/>
  <c r="E27" i="4"/>
  <c r="D27" i="4"/>
  <c r="E29" i="4"/>
  <c r="E23" i="4"/>
  <c r="D23" i="4"/>
  <c r="G23" i="4"/>
  <c r="H23" i="4"/>
  <c r="I23" i="4"/>
  <c r="D19" i="4"/>
  <c r="E19" i="4"/>
  <c r="B19" i="4"/>
  <c r="B14" i="4"/>
  <c r="B8" i="4"/>
  <c r="B4" i="4"/>
  <c r="B97" i="3"/>
  <c r="C97" i="3"/>
  <c r="D97" i="3"/>
  <c r="E97" i="3"/>
  <c r="B98" i="3"/>
  <c r="F97" i="3"/>
  <c r="G97" i="3"/>
  <c r="H97" i="3"/>
  <c r="I97" i="3"/>
  <c r="J97" i="3"/>
  <c r="K97" i="3"/>
  <c r="L97" i="3"/>
  <c r="B92" i="3"/>
  <c r="B93" i="3"/>
  <c r="C92" i="3"/>
  <c r="D92" i="3"/>
  <c r="E92" i="3"/>
  <c r="F92" i="3"/>
  <c r="G92" i="3"/>
  <c r="B86" i="3"/>
  <c r="C86" i="3"/>
  <c r="D86" i="3"/>
  <c r="E86" i="3"/>
  <c r="F86" i="3"/>
  <c r="G86" i="3"/>
  <c r="H86" i="3"/>
  <c r="I86" i="3"/>
  <c r="J86" i="3"/>
  <c r="K86" i="3"/>
  <c r="L86" i="3"/>
  <c r="B81" i="3"/>
  <c r="C81" i="3"/>
  <c r="D81" i="3"/>
  <c r="E81" i="3"/>
  <c r="F81" i="3"/>
  <c r="G81" i="3"/>
  <c r="B74" i="3"/>
  <c r="C74" i="3"/>
  <c r="D72" i="3"/>
  <c r="E72" i="3"/>
  <c r="B68" i="3"/>
  <c r="C68" i="3"/>
  <c r="D68" i="3"/>
  <c r="B69" i="3"/>
  <c r="E68" i="3"/>
  <c r="F68" i="3"/>
  <c r="G68" i="3"/>
  <c r="H68" i="3"/>
  <c r="I68" i="3"/>
  <c r="J68" i="3"/>
  <c r="K68" i="3"/>
  <c r="L68" i="3"/>
  <c r="D60" i="3"/>
  <c r="E60" i="3"/>
  <c r="C62" i="3"/>
  <c r="B62" i="3"/>
  <c r="C56" i="3"/>
  <c r="D56" i="3"/>
  <c r="E56" i="3"/>
  <c r="F56" i="3"/>
  <c r="G56" i="3"/>
  <c r="H56" i="3"/>
  <c r="I56" i="3"/>
  <c r="J56" i="3"/>
  <c r="K56" i="3"/>
  <c r="L56" i="3"/>
  <c r="B56" i="3"/>
  <c r="G49" i="3"/>
  <c r="G42" i="3"/>
  <c r="E49" i="3"/>
  <c r="E42" i="3"/>
  <c r="B49" i="3"/>
  <c r="B42" i="3"/>
  <c r="B16" i="3"/>
  <c r="B14" i="3"/>
  <c r="B8" i="3"/>
  <c r="B6" i="3"/>
  <c r="F33" i="3"/>
  <c r="E33" i="3"/>
  <c r="D33" i="3"/>
  <c r="C33" i="3"/>
  <c r="B33" i="3"/>
  <c r="F25" i="3"/>
  <c r="E25" i="3"/>
  <c r="D25" i="3"/>
  <c r="C25" i="3"/>
  <c r="B25" i="3"/>
  <c r="B69" i="14"/>
  <c r="B66" i="14"/>
  <c r="B72" i="14"/>
  <c r="N67" i="11"/>
  <c r="D62" i="3"/>
  <c r="E87" i="11"/>
  <c r="F85" i="11"/>
  <c r="G85" i="11"/>
  <c r="H85" i="11"/>
  <c r="H87" i="11"/>
  <c r="D5" i="8"/>
  <c r="E36" i="11"/>
  <c r="B50" i="11"/>
  <c r="B52" i="11"/>
  <c r="E21" i="9"/>
  <c r="E23" i="9"/>
  <c r="E24" i="9"/>
  <c r="E26" i="9"/>
  <c r="E8" i="9"/>
  <c r="I50" i="11"/>
  <c r="B67" i="11"/>
  <c r="B69" i="11"/>
  <c r="I67" i="11"/>
  <c r="I69" i="11"/>
  <c r="P67" i="11"/>
  <c r="P69" i="11"/>
  <c r="I71" i="11"/>
  <c r="I73" i="11"/>
  <c r="C15" i="13"/>
  <c r="C17" i="13"/>
  <c r="C19" i="13"/>
  <c r="C21" i="13"/>
  <c r="C31" i="13"/>
  <c r="C57" i="13"/>
  <c r="C61" i="13"/>
  <c r="C63" i="13"/>
  <c r="F47" i="13"/>
  <c r="C35" i="14"/>
  <c r="C37" i="14"/>
  <c r="C39" i="14"/>
  <c r="J102" i="13"/>
  <c r="F87" i="11"/>
  <c r="F61" i="13"/>
  <c r="F63" i="13"/>
  <c r="F57" i="13"/>
  <c r="F59" i="13"/>
  <c r="E46" i="11"/>
  <c r="E48" i="11"/>
  <c r="E69" i="15"/>
  <c r="F69" i="15"/>
  <c r="E94" i="15"/>
  <c r="F94" i="15"/>
  <c r="G94" i="15"/>
  <c r="G96" i="15"/>
  <c r="E34" i="7"/>
  <c r="B24" i="9"/>
  <c r="B27" i="11"/>
  <c r="B29" i="11"/>
  <c r="H26" i="11"/>
  <c r="H27" i="11"/>
  <c r="H29" i="11"/>
  <c r="F41" i="13"/>
  <c r="F40" i="13"/>
  <c r="F42" i="13"/>
  <c r="F25" i="14"/>
  <c r="F35" i="14"/>
  <c r="F37" i="14"/>
  <c r="D102" i="13"/>
  <c r="B103" i="13"/>
  <c r="F39" i="14"/>
  <c r="E36" i="7"/>
  <c r="F34" i="7"/>
  <c r="E82" i="15"/>
  <c r="F82" i="15"/>
  <c r="G155" i="15"/>
  <c r="J82" i="15"/>
  <c r="B15" i="15"/>
  <c r="E57" i="15"/>
  <c r="E59" i="15"/>
  <c r="F57" i="15"/>
  <c r="G57" i="15"/>
  <c r="H57" i="15"/>
  <c r="H59" i="15"/>
  <c r="I169" i="15"/>
  <c r="D150" i="15"/>
  <c r="K26" i="11"/>
  <c r="K27" i="11"/>
  <c r="K29" i="11"/>
  <c r="G34" i="7"/>
  <c r="F36" i="7"/>
  <c r="B21" i="9"/>
  <c r="B19" i="9"/>
  <c r="B36" i="9"/>
  <c r="B39" i="9"/>
  <c r="B40" i="9"/>
  <c r="B8" i="9"/>
  <c r="B11" i="9"/>
  <c r="J57" i="13"/>
  <c r="J59" i="13"/>
  <c r="J61" i="13"/>
  <c r="J63" i="13"/>
  <c r="D107" i="6"/>
  <c r="M14" i="14"/>
  <c r="M16" i="14"/>
  <c r="M18" i="14"/>
  <c r="D77" i="13"/>
  <c r="E75" i="13"/>
  <c r="P71" i="11"/>
  <c r="P73" i="11"/>
  <c r="B71" i="11"/>
  <c r="B73" i="11"/>
  <c r="E22" i="7"/>
  <c r="F20" i="7"/>
  <c r="G20" i="7"/>
  <c r="L36" i="11"/>
  <c r="N46" i="11"/>
  <c r="I46" i="11"/>
  <c r="I48" i="11"/>
  <c r="F18" i="14"/>
  <c r="L100" i="13"/>
  <c r="L102" i="13"/>
  <c r="K102" i="13"/>
  <c r="E25" i="4"/>
  <c r="C23" i="4"/>
  <c r="B23" i="4"/>
  <c r="I25" i="4"/>
  <c r="I26" i="4"/>
  <c r="E8" i="7"/>
  <c r="D10" i="7"/>
  <c r="F97" i="11"/>
  <c r="G97" i="11"/>
  <c r="E99" i="11"/>
  <c r="E67" i="11"/>
  <c r="L67" i="11"/>
  <c r="L69" i="11"/>
  <c r="L71" i="11"/>
  <c r="U67" i="11"/>
  <c r="S71" i="11"/>
  <c r="S73" i="11"/>
  <c r="J35" i="14"/>
  <c r="J37" i="14"/>
  <c r="J39" i="14"/>
  <c r="E71" i="11"/>
  <c r="E73" i="11"/>
  <c r="F46" i="7"/>
  <c r="E48" i="7"/>
  <c r="F19" i="13"/>
  <c r="F21" i="13"/>
  <c r="F15" i="13"/>
  <c r="J36" i="13"/>
  <c r="J38" i="13"/>
  <c r="J40" i="13"/>
  <c r="J42" i="13"/>
  <c r="D89" i="13"/>
  <c r="E87" i="13"/>
  <c r="D74" i="3"/>
  <c r="P18" i="14"/>
  <c r="E84" i="15"/>
  <c r="K82" i="15"/>
  <c r="K84" i="15"/>
  <c r="L82" i="15"/>
  <c r="L84" i="15"/>
  <c r="J84" i="15"/>
  <c r="D160" i="15"/>
  <c r="D162" i="15"/>
  <c r="D164" i="15"/>
  <c r="I179" i="15"/>
  <c r="I181" i="15"/>
  <c r="I183" i="15"/>
  <c r="E77" i="13"/>
  <c r="F75" i="13"/>
  <c r="L46" i="11"/>
  <c r="L48" i="11"/>
  <c r="F22" i="7"/>
  <c r="E10" i="7"/>
  <c r="F8" i="7"/>
  <c r="F10" i="7"/>
  <c r="E89" i="13"/>
  <c r="F87" i="13"/>
  <c r="G46" i="7"/>
  <c r="F48" i="7"/>
  <c r="G36" i="7"/>
  <c r="H34" i="7"/>
  <c r="H97" i="11"/>
  <c r="G99" i="11"/>
  <c r="H36" i="7"/>
  <c r="I34" i="7"/>
  <c r="J34" i="7"/>
  <c r="K34" i="7"/>
  <c r="I57" i="15"/>
  <c r="J57" i="15"/>
  <c r="K57" i="15"/>
  <c r="B22" i="6"/>
  <c r="F96" i="15"/>
  <c r="J96" i="15"/>
  <c r="K94" i="15"/>
  <c r="D183" i="15"/>
  <c r="F84" i="15"/>
  <c r="B85" i="15"/>
  <c r="G82" i="15"/>
  <c r="G84" i="15"/>
  <c r="E96" i="15"/>
  <c r="I96" i="15"/>
  <c r="B179" i="15"/>
  <c r="B181" i="15"/>
  <c r="B183" i="15"/>
  <c r="G183" i="15"/>
  <c r="L94" i="15"/>
  <c r="L96" i="15"/>
  <c r="K96" i="15"/>
  <c r="J59" i="15"/>
  <c r="B41" i="16"/>
  <c r="B56" i="16"/>
  <c r="I122" i="17"/>
  <c r="K118" i="17"/>
  <c r="I118" i="17"/>
  <c r="I120" i="17"/>
  <c r="I141" i="17"/>
  <c r="G122" i="17"/>
  <c r="B118" i="17"/>
  <c r="B120" i="17"/>
  <c r="B122" i="17"/>
  <c r="G137" i="17"/>
  <c r="G139" i="17"/>
  <c r="G37" i="17"/>
  <c r="G39" i="17"/>
  <c r="G43" i="17"/>
  <c r="I43" i="17"/>
  <c r="G42" i="17"/>
  <c r="F60" i="3"/>
  <c r="G60" i="3"/>
  <c r="H60" i="3"/>
  <c r="E62" i="3"/>
  <c r="F72" i="3"/>
  <c r="G72" i="3"/>
  <c r="E74" i="3"/>
  <c r="F74" i="3"/>
  <c r="F62" i="3"/>
  <c r="G62" i="3"/>
  <c r="B12" i="6"/>
  <c r="B77" i="6"/>
  <c r="B24" i="6"/>
  <c r="B25" i="6"/>
  <c r="B27" i="6"/>
  <c r="D106" i="6"/>
  <c r="B20" i="6"/>
  <c r="B37" i="6"/>
  <c r="B40" i="6"/>
  <c r="B41" i="6"/>
  <c r="F89" i="13"/>
  <c r="G87" i="13"/>
  <c r="F58" i="14"/>
  <c r="F54" i="14"/>
  <c r="F56" i="14"/>
  <c r="H54" i="14"/>
  <c r="B87" i="3"/>
  <c r="B94" i="11"/>
  <c r="S36" i="11"/>
  <c r="P50" i="11"/>
  <c r="P52" i="11"/>
  <c r="P46" i="11"/>
  <c r="P48" i="11"/>
  <c r="E69" i="11"/>
  <c r="E62" i="11"/>
  <c r="C49" i="14"/>
  <c r="C56" i="14"/>
  <c r="B76" i="6"/>
  <c r="B81" i="6"/>
  <c r="B84" i="6"/>
  <c r="F17" i="13"/>
  <c r="F10" i="13"/>
  <c r="E15" i="15"/>
  <c r="E9" i="15"/>
  <c r="J36" i="7"/>
  <c r="F71" i="15"/>
  <c r="G69" i="15"/>
  <c r="G75" i="13"/>
  <c r="F77" i="13"/>
  <c r="H15" i="13"/>
  <c r="K179" i="15"/>
  <c r="G67" i="11"/>
  <c r="B43" i="6"/>
  <c r="B42" i="6"/>
  <c r="G74" i="3"/>
  <c r="H72" i="3"/>
  <c r="I59" i="15"/>
  <c r="I36" i="7"/>
  <c r="F59" i="15"/>
  <c r="B60" i="15"/>
  <c r="B57" i="3"/>
  <c r="B82" i="3"/>
  <c r="E51" i="11"/>
  <c r="E50" i="11"/>
  <c r="B43" i="17"/>
  <c r="B42" i="17"/>
  <c r="K36" i="7"/>
  <c r="L34" i="7"/>
  <c r="L36" i="7"/>
  <c r="B37" i="7"/>
  <c r="F19" i="4"/>
  <c r="G19" i="4"/>
  <c r="H19" i="4"/>
  <c r="H99" i="11"/>
  <c r="I97" i="11"/>
  <c r="C52" i="13"/>
  <c r="H57" i="13"/>
  <c r="G59" i="15"/>
  <c r="H20" i="7"/>
  <c r="G22" i="7"/>
  <c r="I85" i="11"/>
  <c r="C27" i="4"/>
  <c r="B27" i="4"/>
  <c r="I29" i="4"/>
  <c r="B5" i="7"/>
  <c r="B91" i="15"/>
  <c r="B97" i="15"/>
  <c r="B84" i="13"/>
  <c r="B97" i="13"/>
  <c r="G160" i="15"/>
  <c r="G162" i="15"/>
  <c r="I150" i="15"/>
  <c r="G164" i="15"/>
  <c r="E11" i="9"/>
  <c r="E25" i="9"/>
  <c r="E41" i="9"/>
  <c r="H62" i="3"/>
  <c r="I60" i="3"/>
  <c r="K59" i="15"/>
  <c r="L57" i="15"/>
  <c r="L59" i="15"/>
  <c r="G48" i="7"/>
  <c r="H46" i="7"/>
  <c r="B42" i="9"/>
  <c r="C59" i="13"/>
  <c r="I30" i="4"/>
  <c r="J9" i="14"/>
  <c r="J16" i="14"/>
  <c r="J18" i="14"/>
  <c r="B54" i="15"/>
  <c r="G181" i="15"/>
  <c r="D127" i="17"/>
  <c r="B141" i="17"/>
  <c r="B137" i="17"/>
  <c r="B139" i="17"/>
  <c r="B26" i="6"/>
  <c r="B41" i="9"/>
  <c r="L50" i="11"/>
  <c r="L52" i="11"/>
  <c r="G87" i="11"/>
  <c r="G8" i="7"/>
  <c r="G10" i="7"/>
  <c r="B11" i="7"/>
  <c r="B25" i="9"/>
  <c r="K112" i="13"/>
  <c r="E71" i="15"/>
  <c r="F99" i="11"/>
  <c r="H48" i="7"/>
  <c r="I46" i="7"/>
  <c r="J97" i="11"/>
  <c r="I99" i="11"/>
  <c r="K160" i="15"/>
  <c r="I160" i="15"/>
  <c r="I162" i="15"/>
  <c r="I164" i="15"/>
  <c r="I87" i="11"/>
  <c r="J85" i="11"/>
  <c r="G89" i="13"/>
  <c r="H87" i="13"/>
  <c r="K114" i="13"/>
  <c r="L112" i="13"/>
  <c r="L114" i="13"/>
  <c r="J60" i="3"/>
  <c r="I62" i="3"/>
  <c r="I72" i="3"/>
  <c r="H74" i="3"/>
  <c r="G77" i="13"/>
  <c r="H75" i="13"/>
  <c r="I19" i="4"/>
  <c r="I21" i="4"/>
  <c r="D137" i="17"/>
  <c r="D139" i="17"/>
  <c r="D141" i="17"/>
  <c r="I20" i="7"/>
  <c r="H22" i="7"/>
  <c r="E21" i="4"/>
  <c r="I22" i="4"/>
  <c r="E52" i="11"/>
  <c r="G71" i="15"/>
  <c r="H69" i="15"/>
  <c r="U46" i="11"/>
  <c r="S50" i="11"/>
  <c r="S52" i="11"/>
  <c r="S46" i="11"/>
  <c r="S48" i="11"/>
  <c r="I75" i="13"/>
  <c r="H77" i="13"/>
  <c r="I74" i="3"/>
  <c r="J72" i="3"/>
  <c r="K97" i="11"/>
  <c r="J99" i="11"/>
  <c r="J87" i="11"/>
  <c r="K85" i="11"/>
  <c r="J46" i="7"/>
  <c r="I48" i="7"/>
  <c r="H89" i="13"/>
  <c r="I87" i="13"/>
  <c r="H71" i="15"/>
  <c r="I69" i="15"/>
  <c r="J62" i="3"/>
  <c r="K60" i="3"/>
  <c r="I22" i="7"/>
  <c r="J20" i="7"/>
  <c r="B115" i="13"/>
  <c r="I77" i="13"/>
  <c r="J75" i="13"/>
  <c r="K99" i="11"/>
  <c r="L97" i="11"/>
  <c r="L99" i="11"/>
  <c r="B100" i="11"/>
  <c r="I89" i="13"/>
  <c r="J87" i="13"/>
  <c r="K72" i="3"/>
  <c r="J74" i="3"/>
  <c r="K20" i="7"/>
  <c r="J22" i="7"/>
  <c r="J48" i="7"/>
  <c r="K46" i="7"/>
  <c r="L60" i="3"/>
  <c r="L62" i="3"/>
  <c r="K62" i="3"/>
  <c r="K87" i="11"/>
  <c r="L85" i="11"/>
  <c r="L87" i="11"/>
  <c r="B88" i="11"/>
  <c r="M85" i="11"/>
  <c r="J69" i="15"/>
  <c r="I71" i="15"/>
  <c r="K48" i="7"/>
  <c r="B49" i="7"/>
  <c r="L46" i="7"/>
  <c r="L48" i="7"/>
  <c r="K22" i="7"/>
  <c r="L20" i="7"/>
  <c r="L22" i="7"/>
  <c r="B23" i="7"/>
  <c r="J77" i="13"/>
  <c r="K75" i="13"/>
  <c r="J71" i="15"/>
  <c r="K69" i="15"/>
  <c r="L72" i="3"/>
  <c r="L74" i="3"/>
  <c r="K74" i="3"/>
  <c r="B63" i="3"/>
  <c r="J89" i="13"/>
  <c r="K87" i="13"/>
  <c r="K89" i="13"/>
  <c r="L87" i="13"/>
  <c r="L89" i="13"/>
  <c r="B90" i="13"/>
  <c r="K71" i="15"/>
  <c r="L69" i="15"/>
  <c r="L71" i="15"/>
  <c r="B72" i="15"/>
  <c r="B75" i="3"/>
  <c r="K77" i="13"/>
  <c r="L75" i="13"/>
  <c r="L77" i="13"/>
  <c r="B78" i="13"/>
  <c r="B14" i="18" l="1"/>
  <c r="B10" i="18"/>
  <c r="B16" i="18" s="1"/>
  <c r="C41" i="18"/>
  <c r="B41" i="18"/>
  <c r="B28" i="18"/>
  <c r="B25" i="18"/>
  <c r="B31" i="18" s="1"/>
  <c r="B32" i="18" s="1"/>
  <c r="F2" i="18" l="1"/>
  <c r="B17" i="18"/>
  <c r="B18" i="18" s="1"/>
</calcChain>
</file>

<file path=xl/sharedStrings.xml><?xml version="1.0" encoding="utf-8"?>
<sst xmlns="http://schemas.openxmlformats.org/spreadsheetml/2006/main" count="1120" uniqueCount="264">
  <si>
    <t>Housing price</t>
  </si>
  <si>
    <t>down payment ratio</t>
  </si>
  <si>
    <t>down payment</t>
  </si>
  <si>
    <t>amount remaining</t>
  </si>
  <si>
    <t>maturity</t>
  </si>
  <si>
    <t>years</t>
  </si>
  <si>
    <t>payment period</t>
  </si>
  <si>
    <t>annual interest</t>
  </si>
  <si>
    <t>monthly interest</t>
  </si>
  <si>
    <t>monthly paymnet</t>
  </si>
  <si>
    <t>monthly rent</t>
  </si>
  <si>
    <t>marginal cost</t>
  </si>
  <si>
    <t>profit</t>
  </si>
  <si>
    <t>variable cost</t>
  </si>
  <si>
    <t>market size</t>
  </si>
  <si>
    <t>net profit</t>
  </si>
  <si>
    <t>Prius</t>
  </si>
  <si>
    <t>price</t>
  </si>
  <si>
    <t>mileage</t>
  </si>
  <si>
    <t>duration</t>
  </si>
  <si>
    <t>gas price</t>
  </si>
  <si>
    <t>annual miles</t>
  </si>
  <si>
    <t>total cost</t>
  </si>
  <si>
    <t>Corrola</t>
  </si>
  <si>
    <t>centrl site</t>
  </si>
  <si>
    <t>revenue 1</t>
  </si>
  <si>
    <t>profit with revenue 1</t>
  </si>
  <si>
    <t>revenue 2</t>
  </si>
  <si>
    <t>profit with revenue 2</t>
  </si>
  <si>
    <t>remove site</t>
  </si>
  <si>
    <t>sytem A</t>
  </si>
  <si>
    <t>fixed cost</t>
  </si>
  <si>
    <t>unit value</t>
  </si>
  <si>
    <t>sytem B</t>
  </si>
  <si>
    <t xml:space="preserve">shrink </t>
  </si>
  <si>
    <t xml:space="preserve">increase </t>
  </si>
  <si>
    <t>cashflows</t>
  </si>
  <si>
    <t>discount rate</t>
  </si>
  <si>
    <t>NPV</t>
  </si>
  <si>
    <t>present value</t>
  </si>
  <si>
    <t>annual increment</t>
  </si>
  <si>
    <t>20 years ago</t>
  </si>
  <si>
    <t>ratio of working population in country A</t>
  </si>
  <si>
    <t>ratio of working population in country B</t>
  </si>
  <si>
    <t>today</t>
  </si>
  <si>
    <t>ratio of working population in country A 40 years from now</t>
  </si>
  <si>
    <t>question 1</t>
  </si>
  <si>
    <t>thirty years ago</t>
  </si>
  <si>
    <t>labor force</t>
  </si>
  <si>
    <t>non labor force</t>
  </si>
  <si>
    <t>labor ratio</t>
  </si>
  <si>
    <t>thirty years from now</t>
  </si>
  <si>
    <t>Question 2</t>
  </si>
  <si>
    <t>Question 1</t>
  </si>
  <si>
    <t>House price</t>
  </si>
  <si>
    <t>mortgage rate</t>
  </si>
  <si>
    <t>per annum</t>
  </si>
  <si>
    <t>monthly rate</t>
  </si>
  <si>
    <t>monthly interest payment</t>
  </si>
  <si>
    <t>duration for payment in principle and interest</t>
  </si>
  <si>
    <t>monthly payment for the last 25 years</t>
  </si>
  <si>
    <t>percentage of capital gain</t>
  </si>
  <si>
    <t>total capital gain</t>
  </si>
  <si>
    <t>capital invested</t>
  </si>
  <si>
    <t>rate of return</t>
  </si>
  <si>
    <t>Question 3</t>
  </si>
  <si>
    <t>probability of being right</t>
  </si>
  <si>
    <t>absolute return</t>
  </si>
  <si>
    <t>expected rate of return</t>
  </si>
  <si>
    <t>amount of capital 1</t>
  </si>
  <si>
    <t>total return</t>
  </si>
  <si>
    <t>amount of capital 2</t>
  </si>
  <si>
    <t>amount of capital 3</t>
  </si>
  <si>
    <t>Probability</t>
  </si>
  <si>
    <t>P/L</t>
  </si>
  <si>
    <t>average P/L</t>
  </si>
  <si>
    <t>Question 4</t>
  </si>
  <si>
    <t>Question 6</t>
  </si>
  <si>
    <t>initial investment</t>
  </si>
  <si>
    <t>million</t>
  </si>
  <si>
    <t>payoff 1</t>
  </si>
  <si>
    <t>payoff 2</t>
  </si>
  <si>
    <t>p</t>
  </si>
  <si>
    <t>1-p</t>
  </si>
  <si>
    <t>d</t>
  </si>
  <si>
    <t>level of risky asset</t>
  </si>
  <si>
    <t>expected geometric return</t>
  </si>
  <si>
    <t>expected arithmetic return</t>
  </si>
  <si>
    <t>probability of positive return</t>
  </si>
  <si>
    <t>magnitude of positive return</t>
  </si>
  <si>
    <t>probability of negative return</t>
  </si>
  <si>
    <t>magnitude of negative return</t>
  </si>
  <si>
    <t>return on asset</t>
  </si>
  <si>
    <t>capital</t>
  </si>
  <si>
    <t>asset</t>
  </si>
  <si>
    <t>value at risk (95%)</t>
  </si>
  <si>
    <t>two company combination</t>
  </si>
  <si>
    <t>distribution of P/L are independent</t>
  </si>
  <si>
    <t>probability of  both positive return</t>
  </si>
  <si>
    <t>magnitude of return</t>
  </si>
  <si>
    <t>probability of  one positive, one negative return</t>
  </si>
  <si>
    <t>probability of  both negative return</t>
  </si>
  <si>
    <t>asset for each company</t>
  </si>
  <si>
    <t xml:space="preserve">allowed asset </t>
  </si>
  <si>
    <t>return on capital</t>
  </si>
  <si>
    <t>allowed asset</t>
  </si>
  <si>
    <t xml:space="preserve">If both positive return, half the gain go to </t>
  </si>
  <si>
    <t>support one positive,one negative</t>
  </si>
  <si>
    <t>largest amount of loss</t>
  </si>
  <si>
    <t>amount of loan</t>
  </si>
  <si>
    <t>expected payoff</t>
  </si>
  <si>
    <t>probability</t>
  </si>
  <si>
    <t>average</t>
  </si>
  <si>
    <t>salvage ratio</t>
  </si>
  <si>
    <t>loan rate</t>
  </si>
  <si>
    <t>expected payback</t>
  </si>
  <si>
    <t>required payback</t>
  </si>
  <si>
    <t>required return on loans</t>
  </si>
  <si>
    <t>tax base(net profit in the whole project)</t>
  </si>
  <si>
    <t>Slide 21</t>
  </si>
  <si>
    <t>slide 25</t>
  </si>
  <si>
    <t>total constraint</t>
  </si>
  <si>
    <t>first project</t>
  </si>
  <si>
    <t>marginal profit</t>
  </si>
  <si>
    <t>revenue</t>
  </si>
  <si>
    <t>amount of initial investment</t>
  </si>
  <si>
    <t>self funded part</t>
  </si>
  <si>
    <t>expected payoff for owner</t>
  </si>
  <si>
    <t>risk free rate</t>
  </si>
  <si>
    <t>period end value of self fund</t>
  </si>
  <si>
    <t>probability of each type</t>
  </si>
  <si>
    <t>actual rate</t>
  </si>
  <si>
    <t>premium in percentage</t>
  </si>
  <si>
    <t>Question 5</t>
  </si>
  <si>
    <t>probability of payoff</t>
  </si>
  <si>
    <t>amount of payoff</t>
  </si>
  <si>
    <t>second project</t>
  </si>
  <si>
    <t>cost of capital</t>
  </si>
  <si>
    <t>Salvage value and discount rate</t>
  </si>
  <si>
    <t>profit for project operators</t>
  </si>
  <si>
    <t>Ratio of self funding and discount rate</t>
  </si>
  <si>
    <t>Inforamtion cost and discount rate</t>
  </si>
  <si>
    <t>NPV when self financed</t>
  </si>
  <si>
    <t>NPV when financed by loan</t>
  </si>
  <si>
    <t>Uncertainty and discounting</t>
  </si>
  <si>
    <t>Bond A</t>
  </si>
  <si>
    <t>coupon rate</t>
  </si>
  <si>
    <t>time to maturity</t>
  </si>
  <si>
    <t>year</t>
  </si>
  <si>
    <t>principle</t>
  </si>
  <si>
    <t>Bond B</t>
  </si>
  <si>
    <t xml:space="preserve">discount rate </t>
  </si>
  <si>
    <t>valuation</t>
  </si>
  <si>
    <t>ratio of change</t>
  </si>
  <si>
    <t>Stock A</t>
  </si>
  <si>
    <t xml:space="preserve">current dividend </t>
  </si>
  <si>
    <t>dollars</t>
  </si>
  <si>
    <t>rate of change</t>
  </si>
  <si>
    <t>Stock B</t>
  </si>
  <si>
    <t>Stock C</t>
  </si>
  <si>
    <t>probability of going up</t>
  </si>
  <si>
    <t>probability of going down</t>
  </si>
  <si>
    <t>uncertainty</t>
  </si>
  <si>
    <t>up value</t>
  </si>
  <si>
    <t>down value</t>
  </si>
  <si>
    <t>bank's cost</t>
  </si>
  <si>
    <t>bank's required return</t>
  </si>
  <si>
    <t>percentage of self financing</t>
  </si>
  <si>
    <t>Solve: Bank's loan rate</t>
  </si>
  <si>
    <t>Question 7</t>
  </si>
  <si>
    <t>Question 3: Uncertainty and loan rate</t>
  </si>
  <si>
    <t>Question 13</t>
  </si>
  <si>
    <t>cost of equity</t>
  </si>
  <si>
    <t>WACC</t>
  </si>
  <si>
    <t>asset value calculated from WACC</t>
  </si>
  <si>
    <t>asset value as sum of debt and equity</t>
  </si>
  <si>
    <t>project one</t>
  </si>
  <si>
    <t>reapyment in good condition</t>
  </si>
  <si>
    <t>reapyment in bad condition</t>
  </si>
  <si>
    <t>expected total repayment</t>
  </si>
  <si>
    <t>required repayment</t>
  </si>
  <si>
    <t>project two</t>
  </si>
  <si>
    <t>annual revenue</t>
  </si>
  <si>
    <t>annual gross profit</t>
  </si>
  <si>
    <t>PV of annual gross profit</t>
  </si>
  <si>
    <t>NPV of the project</t>
  </si>
  <si>
    <t>amount of external financing</t>
  </si>
  <si>
    <t>debt financing</t>
  </si>
  <si>
    <t>interest rate</t>
  </si>
  <si>
    <t>annual repayment</t>
  </si>
  <si>
    <t>external equity finnacing</t>
  </si>
  <si>
    <t>scenarios of different outputs</t>
  </si>
  <si>
    <t>dividend payout with debt financing</t>
  </si>
  <si>
    <t>dividend payout with equity financing</t>
  </si>
  <si>
    <t>value at risk (5%)</t>
  </si>
  <si>
    <t>probability of return 1</t>
  </si>
  <si>
    <t>magnitude of return 1</t>
  </si>
  <si>
    <t>probability of return 2</t>
  </si>
  <si>
    <t>magnitude of return 2</t>
  </si>
  <si>
    <t>probability of return 3</t>
  </si>
  <si>
    <t>magnitude of return 3</t>
  </si>
  <si>
    <t>Expected CDS payment</t>
  </si>
  <si>
    <t>CDS premium</t>
  </si>
  <si>
    <t>Question 10</t>
  </si>
  <si>
    <t>Quesation 1 (asset valuation with WACC)</t>
  </si>
  <si>
    <t>Quesation 2 (asset valuation with WACC)</t>
  </si>
  <si>
    <t>intial value</t>
  </si>
  <si>
    <t>annual return 1</t>
  </si>
  <si>
    <t>annual return 2</t>
  </si>
  <si>
    <t xml:space="preserve">Length </t>
  </si>
  <si>
    <t>Final value with return 1</t>
  </si>
  <si>
    <t>Final value with return 2</t>
  </si>
  <si>
    <t>difference</t>
  </si>
  <si>
    <t>required rate on bank loan</t>
  </si>
  <si>
    <t>payoff</t>
  </si>
  <si>
    <t>expected repayment of loan</t>
  </si>
  <si>
    <t>required repayment of loan</t>
  </si>
  <si>
    <t xml:space="preserve">debt finaning </t>
  </si>
  <si>
    <t>equity financing</t>
  </si>
  <si>
    <t>loan payment after one year</t>
  </si>
  <si>
    <t>payoff after loan</t>
  </si>
  <si>
    <t>expected payoff after loan</t>
  </si>
  <si>
    <t xml:space="preserve">required return for external equity </t>
  </si>
  <si>
    <t xml:space="preserve">required payment for external equity </t>
  </si>
  <si>
    <t>share of external equity</t>
  </si>
  <si>
    <t>expected payoff for original investor</t>
  </si>
  <si>
    <t>expected payoff from the project</t>
  </si>
  <si>
    <t>Question 5, 6, 7</t>
  </si>
  <si>
    <t>Discounted value</t>
  </si>
  <si>
    <t>Question 8</t>
  </si>
  <si>
    <t>Bachelor</t>
  </si>
  <si>
    <t>average annual living cost</t>
  </si>
  <si>
    <t>number of years</t>
  </si>
  <si>
    <t>age start working</t>
  </si>
  <si>
    <t>first year after tax income</t>
  </si>
  <si>
    <t>annual increase</t>
  </si>
  <si>
    <t>Discount rate</t>
  </si>
  <si>
    <t>PV of total living cost</t>
  </si>
  <si>
    <t>Pv  of total income</t>
  </si>
  <si>
    <t>Master</t>
  </si>
  <si>
    <t>Example 2</t>
  </si>
  <si>
    <t>Example 3</t>
  </si>
  <si>
    <t>maturity in years</t>
  </si>
  <si>
    <t>initial interest rate</t>
  </si>
  <si>
    <t>initial price for zero coupon bond</t>
  </si>
  <si>
    <t>new interest rate</t>
  </si>
  <si>
    <t>percentage of change</t>
  </si>
  <si>
    <t>principal</t>
  </si>
  <si>
    <t>new price for zero coupon bond</t>
  </si>
  <si>
    <t>Example 1</t>
  </si>
  <si>
    <t>dollar</t>
  </si>
  <si>
    <t>down payment rate</t>
  </si>
  <si>
    <t xml:space="preserve">down payment  </t>
  </si>
  <si>
    <t>amount of mortgage</t>
  </si>
  <si>
    <t>annual interest rate</t>
  </si>
  <si>
    <t>Length of mortgage</t>
  </si>
  <si>
    <t>total number of monthly payment</t>
  </si>
  <si>
    <t>monthly mortgage payment</t>
  </si>
  <si>
    <t>new annual interest rate</t>
  </si>
  <si>
    <t>New total mortgage value with original monthly payment</t>
  </si>
  <si>
    <t>New housing price</t>
  </si>
  <si>
    <t>New downpayment</t>
  </si>
  <si>
    <t>Example 1'</t>
  </si>
  <si>
    <t>Monthly payment with new housing price and 6%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</si>
</sst>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%"/>
  </numFmts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AEFF7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9" fontId="0" fillId="0" borderId="0" xfId="0" applyNumberFormat="1"/>
    <xf numFmtId="10" fontId="0" fillId="0" borderId="0" xfId="0" applyNumberFormat="1"/>
    <xf numFmtId="3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2" fillId="0" borderId="0" xfId="1"/>
    <xf numFmtId="166" fontId="0" fillId="0" borderId="0" xfId="0" applyNumberFormat="1"/>
    <xf numFmtId="0" fontId="2" fillId="2" borderId="0" xfId="0" applyFont="1" applyFill="1"/>
    <xf numFmtId="0" fontId="0" fillId="2" borderId="0" xfId="0" applyFill="1"/>
    <xf numFmtId="9" fontId="0" fillId="2" borderId="0" xfId="0" applyNumberFormat="1" applyFill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 readingOrder="1"/>
    </xf>
    <xf numFmtId="0" fontId="3" fillId="3" borderId="1" xfId="0" applyFont="1" applyFill="1" applyBorder="1" applyAlignment="1">
      <alignment horizontal="right" wrapText="1" readingOrder="1"/>
    </xf>
    <xf numFmtId="9" fontId="3" fillId="3" borderId="1" xfId="0" applyNumberFormat="1" applyFont="1" applyFill="1" applyBorder="1" applyAlignment="1">
      <alignment horizontal="right" wrapText="1" readingOrder="1"/>
    </xf>
    <xf numFmtId="2" fontId="3" fillId="3" borderId="1" xfId="0" applyNumberFormat="1" applyFont="1" applyFill="1" applyBorder="1" applyAlignment="1">
      <alignment horizontal="right" wrapText="1" readingOrder="1"/>
    </xf>
    <xf numFmtId="164" fontId="3" fillId="3" borderId="1" xfId="0" applyNumberFormat="1" applyFont="1" applyFill="1" applyBorder="1" applyAlignment="1">
      <alignment horizontal="right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E17" sqref="E17"/>
    </sheetView>
  </sheetViews>
  <sheetFormatPr defaultRowHeight="12.5" x14ac:dyDescent="0.25"/>
  <cols>
    <col min="1" max="1" width="45.36328125" customWidth="1"/>
    <col min="2" max="2" width="11.26953125" bestFit="1" customWidth="1"/>
    <col min="5" max="5" width="50" customWidth="1"/>
  </cols>
  <sheetData>
    <row r="1" spans="1:6" x14ac:dyDescent="0.25">
      <c r="A1" s="8" t="s">
        <v>249</v>
      </c>
      <c r="E1" s="8" t="s">
        <v>262</v>
      </c>
    </row>
    <row r="2" spans="1:6" x14ac:dyDescent="0.25">
      <c r="A2" s="8" t="s">
        <v>54</v>
      </c>
      <c r="B2">
        <v>400000</v>
      </c>
      <c r="C2" s="8" t="s">
        <v>250</v>
      </c>
      <c r="E2" s="8" t="s">
        <v>263</v>
      </c>
      <c r="F2">
        <f>B16*B7/(1-1/(1+B7)^B9)</f>
        <v>3239.8911137509244</v>
      </c>
    </row>
    <row r="3" spans="1:6" x14ac:dyDescent="0.25">
      <c r="A3" s="8" t="s">
        <v>251</v>
      </c>
      <c r="B3" s="1">
        <v>0.05</v>
      </c>
    </row>
    <row r="4" spans="1:6" x14ac:dyDescent="0.25">
      <c r="A4" s="8" t="s">
        <v>252</v>
      </c>
      <c r="B4">
        <f>B2*B3</f>
        <v>20000</v>
      </c>
    </row>
    <row r="5" spans="1:6" x14ac:dyDescent="0.25">
      <c r="A5" s="8" t="s">
        <v>253</v>
      </c>
      <c r="B5">
        <f>B2-B4</f>
        <v>380000</v>
      </c>
    </row>
    <row r="6" spans="1:6" x14ac:dyDescent="0.25">
      <c r="A6" s="8" t="s">
        <v>254</v>
      </c>
      <c r="B6" s="1">
        <v>0.06</v>
      </c>
    </row>
    <row r="7" spans="1:6" x14ac:dyDescent="0.25">
      <c r="A7" s="8" t="s">
        <v>57</v>
      </c>
      <c r="B7">
        <f>B6/12</f>
        <v>5.0000000000000001E-3</v>
      </c>
    </row>
    <row r="8" spans="1:6" x14ac:dyDescent="0.25">
      <c r="A8" s="8" t="s">
        <v>255</v>
      </c>
      <c r="B8">
        <v>30</v>
      </c>
      <c r="C8" s="8" t="s">
        <v>5</v>
      </c>
    </row>
    <row r="9" spans="1:6" x14ac:dyDescent="0.25">
      <c r="A9" s="8" t="s">
        <v>256</v>
      </c>
      <c r="B9">
        <f>B8*12</f>
        <v>360</v>
      </c>
    </row>
    <row r="10" spans="1:6" x14ac:dyDescent="0.25">
      <c r="A10" s="8" t="s">
        <v>257</v>
      </c>
      <c r="B10">
        <f>B5*B7/(1-1/(1+B7)^B9)</f>
        <v>2278.2919955804841</v>
      </c>
    </row>
    <row r="12" spans="1:6" x14ac:dyDescent="0.25">
      <c r="A12" s="8" t="s">
        <v>258</v>
      </c>
      <c r="B12" s="1">
        <v>0.03</v>
      </c>
    </row>
    <row r="13" spans="1:6" x14ac:dyDescent="0.25">
      <c r="A13" s="8" t="s">
        <v>57</v>
      </c>
      <c r="B13">
        <f>B12/12</f>
        <v>2.5000000000000001E-3</v>
      </c>
    </row>
    <row r="14" spans="1:6" x14ac:dyDescent="0.25">
      <c r="A14" s="8" t="s">
        <v>257</v>
      </c>
      <c r="B14">
        <f>B5*B13/(1-1/(1+B13)^B9)</f>
        <v>1602.0953281719292</v>
      </c>
    </row>
    <row r="15" spans="1:6" x14ac:dyDescent="0.25">
      <c r="A15" s="8"/>
    </row>
    <row r="16" spans="1:6" x14ac:dyDescent="0.25">
      <c r="A16" s="8" t="s">
        <v>259</v>
      </c>
      <c r="B16">
        <f>B10/B13*(1-1/(1+B13)^B9)</f>
        <v>540386.66931789205</v>
      </c>
    </row>
    <row r="17" spans="1:3" x14ac:dyDescent="0.25">
      <c r="A17" s="8" t="s">
        <v>260</v>
      </c>
      <c r="B17">
        <f>B16/(1-B3)</f>
        <v>568828.07296620216</v>
      </c>
    </row>
    <row r="18" spans="1:3" x14ac:dyDescent="0.25">
      <c r="A18" s="8" t="s">
        <v>261</v>
      </c>
      <c r="B18">
        <f>B17*B3</f>
        <v>28441.403648310108</v>
      </c>
    </row>
    <row r="19" spans="1:3" x14ac:dyDescent="0.25">
      <c r="A19" s="8"/>
    </row>
    <row r="21" spans="1:3" x14ac:dyDescent="0.25">
      <c r="A21" s="8" t="s">
        <v>240</v>
      </c>
    </row>
    <row r="22" spans="1:3" x14ac:dyDescent="0.25">
      <c r="A22" t="s">
        <v>54</v>
      </c>
      <c r="B22" s="3">
        <v>500000</v>
      </c>
    </row>
    <row r="23" spans="1:3" x14ac:dyDescent="0.25">
      <c r="A23" t="s">
        <v>55</v>
      </c>
      <c r="B23" s="1">
        <v>0.03</v>
      </c>
      <c r="C23" t="s">
        <v>56</v>
      </c>
    </row>
    <row r="24" spans="1:3" x14ac:dyDescent="0.25">
      <c r="A24" t="s">
        <v>57</v>
      </c>
      <c r="B24">
        <f>B23/12</f>
        <v>2.5000000000000001E-3</v>
      </c>
    </row>
    <row r="25" spans="1:3" x14ac:dyDescent="0.25">
      <c r="A25" t="s">
        <v>58</v>
      </c>
      <c r="B25">
        <f>B22*B24</f>
        <v>1250</v>
      </c>
    </row>
    <row r="26" spans="1:3" x14ac:dyDescent="0.25">
      <c r="A26" t="s">
        <v>59</v>
      </c>
      <c r="B26">
        <v>20</v>
      </c>
      <c r="C26" t="s">
        <v>5</v>
      </c>
    </row>
    <row r="27" spans="1:3" x14ac:dyDescent="0.25">
      <c r="A27" t="s">
        <v>6</v>
      </c>
      <c r="B27">
        <f>B26*12</f>
        <v>240</v>
      </c>
    </row>
    <row r="28" spans="1:3" x14ac:dyDescent="0.25">
      <c r="A28" t="s">
        <v>60</v>
      </c>
      <c r="B28">
        <f>B22/((1-1/(1+B24)^B27)/B24)</f>
        <v>2772.9879892695953</v>
      </c>
    </row>
    <row r="29" spans="1:3" x14ac:dyDescent="0.25">
      <c r="A29" t="s">
        <v>61</v>
      </c>
      <c r="B29" s="1">
        <v>0.15</v>
      </c>
    </row>
    <row r="30" spans="1:3" x14ac:dyDescent="0.25">
      <c r="A30" t="s">
        <v>62</v>
      </c>
      <c r="B30">
        <f>B22*B29</f>
        <v>75000</v>
      </c>
    </row>
    <row r="31" spans="1:3" x14ac:dyDescent="0.25">
      <c r="A31" t="s">
        <v>63</v>
      </c>
      <c r="B31">
        <f>B25*12</f>
        <v>15000</v>
      </c>
    </row>
    <row r="32" spans="1:3" x14ac:dyDescent="0.25">
      <c r="A32" t="s">
        <v>64</v>
      </c>
      <c r="B32" s="4">
        <f>B30/B31-1</f>
        <v>4</v>
      </c>
    </row>
    <row r="34" spans="1:3" x14ac:dyDescent="0.25">
      <c r="A34" s="8" t="s">
        <v>241</v>
      </c>
    </row>
    <row r="35" spans="1:3" ht="13" thickBot="1" x14ac:dyDescent="0.3">
      <c r="A35" s="8" t="s">
        <v>247</v>
      </c>
      <c r="B35">
        <v>1000</v>
      </c>
    </row>
    <row r="36" spans="1:3" ht="13" thickBot="1" x14ac:dyDescent="0.3">
      <c r="A36" s="15" t="s">
        <v>242</v>
      </c>
      <c r="B36" s="16">
        <v>5</v>
      </c>
      <c r="C36" s="16">
        <v>10</v>
      </c>
    </row>
    <row r="37" spans="1:3" ht="13" thickBot="1" x14ac:dyDescent="0.3">
      <c r="A37" s="15" t="s">
        <v>243</v>
      </c>
      <c r="B37" s="17">
        <v>0.08</v>
      </c>
      <c r="C37" s="14"/>
    </row>
    <row r="38" spans="1:3" ht="13" thickBot="1" x14ac:dyDescent="0.3">
      <c r="A38" s="15" t="s">
        <v>244</v>
      </c>
      <c r="B38" s="18">
        <f>$B35/(1+$B37)^B36</f>
        <v>680.58319703375298</v>
      </c>
      <c r="C38" s="18">
        <f>$B35/(1+$B37)^C36</f>
        <v>463.19348808468425</v>
      </c>
    </row>
    <row r="39" spans="1:3" ht="13" thickBot="1" x14ac:dyDescent="0.3">
      <c r="A39" s="15" t="s">
        <v>245</v>
      </c>
      <c r="B39" s="17">
        <v>0.06</v>
      </c>
      <c r="C39" s="14"/>
    </row>
    <row r="40" spans="1:3" ht="13" thickBot="1" x14ac:dyDescent="0.3">
      <c r="A40" s="15" t="s">
        <v>248</v>
      </c>
      <c r="B40" s="18">
        <f>$B35/(1+$B39)^B36</f>
        <v>747.25817286605684</v>
      </c>
      <c r="C40" s="18">
        <f>$B35/(1+$B39)^C36</f>
        <v>558.39477691511786</v>
      </c>
    </row>
    <row r="41" spans="1:3" ht="13" thickBot="1" x14ac:dyDescent="0.3">
      <c r="A41" s="15" t="s">
        <v>246</v>
      </c>
      <c r="B41" s="19">
        <f>B40/B38-1</f>
        <v>9.7967414010365461E-2</v>
      </c>
      <c r="C41" s="19">
        <f>C40/C38-1</f>
        <v>0.20553244222860978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115"/>
  <sheetViews>
    <sheetView topLeftCell="A127" workbookViewId="0">
      <selection activeCell="O140" sqref="O140"/>
    </sheetView>
  </sheetViews>
  <sheetFormatPr defaultRowHeight="12.5" x14ac:dyDescent="0.25"/>
  <cols>
    <col min="1" max="1" width="23.36328125" customWidth="1"/>
    <col min="2" max="2" width="6.81640625" customWidth="1"/>
    <col min="3" max="3" width="5.81640625" customWidth="1"/>
    <col min="4" max="4" width="6" customWidth="1"/>
    <col min="5" max="5" width="6.26953125" customWidth="1"/>
    <col min="6" max="6" width="5.81640625" customWidth="1"/>
    <col min="7" max="7" width="5.7265625" customWidth="1"/>
    <col min="8" max="8" width="6.26953125" customWidth="1"/>
    <col min="9" max="9" width="6.54296875" customWidth="1"/>
    <col min="10" max="10" width="5.1796875" customWidth="1"/>
    <col min="11" max="11" width="6.36328125" customWidth="1"/>
    <col min="12" max="12" width="6" customWidth="1"/>
  </cols>
  <sheetData>
    <row r="2" spans="1:12" x14ac:dyDescent="0.25">
      <c r="A2" t="s">
        <v>109</v>
      </c>
      <c r="B2">
        <v>1</v>
      </c>
      <c r="C2" t="s">
        <v>79</v>
      </c>
      <c r="E2">
        <v>1</v>
      </c>
      <c r="F2" t="s">
        <v>79</v>
      </c>
    </row>
    <row r="4" spans="1:12" x14ac:dyDescent="0.25">
      <c r="A4" t="s">
        <v>111</v>
      </c>
      <c r="B4">
        <v>0.85</v>
      </c>
      <c r="C4">
        <f>1-B4</f>
        <v>0.15000000000000002</v>
      </c>
      <c r="E4">
        <v>0.95</v>
      </c>
      <c r="F4">
        <f>1-E4</f>
        <v>5.0000000000000044E-2</v>
      </c>
    </row>
    <row r="5" spans="1:12" x14ac:dyDescent="0.25">
      <c r="A5" t="s">
        <v>110</v>
      </c>
      <c r="B5">
        <v>2</v>
      </c>
      <c r="C5">
        <v>0.8</v>
      </c>
      <c r="E5">
        <v>2</v>
      </c>
      <c r="F5">
        <v>0.8</v>
      </c>
    </row>
    <row r="6" spans="1:12" x14ac:dyDescent="0.25">
      <c r="A6" t="s">
        <v>112</v>
      </c>
      <c r="B6">
        <f>B4*B5+C4*C5</f>
        <v>1.82</v>
      </c>
      <c r="E6">
        <f>E4*E5+F4*F5</f>
        <v>1.94</v>
      </c>
    </row>
    <row r="8" spans="1:12" x14ac:dyDescent="0.25">
      <c r="A8" t="s">
        <v>113</v>
      </c>
      <c r="B8" s="1">
        <v>0.6</v>
      </c>
      <c r="E8" s="1">
        <v>0.6</v>
      </c>
    </row>
    <row r="9" spans="1:12" x14ac:dyDescent="0.25">
      <c r="A9" t="s">
        <v>117</v>
      </c>
      <c r="B9" s="1">
        <v>0.02</v>
      </c>
      <c r="E9" s="1">
        <v>0.02</v>
      </c>
    </row>
    <row r="10" spans="1:12" x14ac:dyDescent="0.25">
      <c r="A10" t="s">
        <v>116</v>
      </c>
      <c r="B10" s="4">
        <f>B2*(1+B9)</f>
        <v>1.02</v>
      </c>
      <c r="E10" s="4">
        <f>E2*(1+E9)</f>
        <v>1.02</v>
      </c>
    </row>
    <row r="11" spans="1:12" x14ac:dyDescent="0.25">
      <c r="A11" t="s">
        <v>114</v>
      </c>
      <c r="B11" s="1">
        <v>0.11529411764705881</v>
      </c>
      <c r="E11" s="1">
        <v>4.8421052631579031E-2</v>
      </c>
    </row>
    <row r="12" spans="1:12" x14ac:dyDescent="0.25">
      <c r="A12" t="s">
        <v>115</v>
      </c>
      <c r="B12">
        <f>B2*(1+B11)*B4+C5*B8*C4</f>
        <v>1.02</v>
      </c>
      <c r="E12">
        <f>E2*(1+E11)*E4+F5*E8*F4</f>
        <v>1.02</v>
      </c>
    </row>
    <row r="15" spans="1:12" x14ac:dyDescent="0.25">
      <c r="A15" t="s">
        <v>125</v>
      </c>
      <c r="B15">
        <v>1</v>
      </c>
      <c r="C15" t="s">
        <v>79</v>
      </c>
      <c r="E15">
        <v>1</v>
      </c>
      <c r="F15" t="s">
        <v>79</v>
      </c>
      <c r="H15">
        <v>1</v>
      </c>
      <c r="I15" t="s">
        <v>79</v>
      </c>
      <c r="K15">
        <v>1</v>
      </c>
      <c r="L15" t="s">
        <v>79</v>
      </c>
    </row>
    <row r="16" spans="1:12" x14ac:dyDescent="0.25">
      <c r="A16" t="s">
        <v>126</v>
      </c>
      <c r="B16">
        <v>0.2</v>
      </c>
      <c r="E16">
        <v>0.2</v>
      </c>
      <c r="H16">
        <v>0.2</v>
      </c>
      <c r="K16">
        <v>0.2</v>
      </c>
    </row>
    <row r="17" spans="1:12" x14ac:dyDescent="0.25">
      <c r="A17" t="s">
        <v>109</v>
      </c>
      <c r="B17">
        <f>B15-B16</f>
        <v>0.8</v>
      </c>
      <c r="E17">
        <f>E15-E16</f>
        <v>0.8</v>
      </c>
      <c r="H17">
        <f>H15-H16</f>
        <v>0.8</v>
      </c>
      <c r="K17">
        <f>K15-K16</f>
        <v>0.8</v>
      </c>
    </row>
    <row r="18" spans="1:12" x14ac:dyDescent="0.25">
      <c r="A18" t="s">
        <v>128</v>
      </c>
      <c r="B18">
        <v>0</v>
      </c>
      <c r="E18">
        <v>0.02</v>
      </c>
      <c r="H18">
        <v>0.04</v>
      </c>
      <c r="K18">
        <v>0.06</v>
      </c>
    </row>
    <row r="20" spans="1:12" x14ac:dyDescent="0.25">
      <c r="A20" t="s">
        <v>111</v>
      </c>
      <c r="B20">
        <v>0.85</v>
      </c>
      <c r="C20">
        <f>1-B20</f>
        <v>0.15000000000000002</v>
      </c>
      <c r="E20">
        <v>0.85</v>
      </c>
      <c r="F20">
        <f>1-E20</f>
        <v>0.15000000000000002</v>
      </c>
      <c r="H20">
        <v>0.85</v>
      </c>
      <c r="I20">
        <f>1-H20</f>
        <v>0.15000000000000002</v>
      </c>
      <c r="K20">
        <v>0.85</v>
      </c>
      <c r="L20">
        <f>1-K20</f>
        <v>0.15000000000000002</v>
      </c>
    </row>
    <row r="21" spans="1:12" x14ac:dyDescent="0.25">
      <c r="A21" t="s">
        <v>110</v>
      </c>
      <c r="B21">
        <v>1.4</v>
      </c>
      <c r="C21">
        <v>0.8</v>
      </c>
      <c r="E21">
        <v>1.4</v>
      </c>
      <c r="F21">
        <v>0.8</v>
      </c>
      <c r="H21">
        <v>1.4</v>
      </c>
      <c r="I21">
        <v>0.8</v>
      </c>
      <c r="K21">
        <v>1.4</v>
      </c>
      <c r="L21">
        <v>0.8</v>
      </c>
    </row>
    <row r="22" spans="1:12" x14ac:dyDescent="0.25">
      <c r="A22" t="s">
        <v>112</v>
      </c>
      <c r="B22">
        <f>B20*B21+C20*C21</f>
        <v>1.31</v>
      </c>
      <c r="E22">
        <f>E20*E21+F20*F21</f>
        <v>1.31</v>
      </c>
      <c r="H22">
        <f>H20*H21+I20*I21</f>
        <v>1.31</v>
      </c>
      <c r="K22">
        <f>K20*K21+L20*L21</f>
        <v>1.31</v>
      </c>
    </row>
    <row r="24" spans="1:12" x14ac:dyDescent="0.25">
      <c r="A24" t="s">
        <v>113</v>
      </c>
      <c r="B24" s="1">
        <v>0.6</v>
      </c>
      <c r="E24" s="1">
        <v>0.6</v>
      </c>
      <c r="H24" s="1">
        <v>0.6</v>
      </c>
      <c r="K24" s="1">
        <v>0.6</v>
      </c>
    </row>
    <row r="25" spans="1:12" x14ac:dyDescent="0.25">
      <c r="A25" t="s">
        <v>117</v>
      </c>
      <c r="B25" s="1">
        <v>0.02</v>
      </c>
      <c r="E25" s="1">
        <v>0.02</v>
      </c>
      <c r="H25" s="1">
        <v>0.02</v>
      </c>
      <c r="K25" s="1">
        <v>0.02</v>
      </c>
    </row>
    <row r="26" spans="1:12" x14ac:dyDescent="0.25">
      <c r="A26" t="s">
        <v>116</v>
      </c>
      <c r="B26" s="4">
        <f>B17*(1+B18+B25)</f>
        <v>0.81600000000000006</v>
      </c>
      <c r="E26" s="4">
        <f>E17*(1+E18+E25)</f>
        <v>0.83200000000000007</v>
      </c>
      <c r="H26" s="4">
        <f>H17*(1+H18+H25)</f>
        <v>0.84800000000000009</v>
      </c>
      <c r="K26" s="4">
        <f>K17*(1+K18+K25)</f>
        <v>0.8640000000000001</v>
      </c>
    </row>
    <row r="27" spans="1:12" x14ac:dyDescent="0.25">
      <c r="A27" t="s">
        <v>114</v>
      </c>
      <c r="B27" s="1">
        <f>(B26-C21*B24*C20)/(B17*B20)-1</f>
        <v>9.4117647058823417E-2</v>
      </c>
      <c r="E27" s="1">
        <f>(E26-F21*E24*F20)/(E17*E20)-1</f>
        <v>0.11764705882352944</v>
      </c>
      <c r="H27" s="1">
        <f>(H26-I21*H24*I20)/(H17*H20)-1</f>
        <v>0.14117647058823524</v>
      </c>
      <c r="K27" s="1">
        <f>(K26-L21*K24*L20)/(K17*K20)-1</f>
        <v>0.16470588235294126</v>
      </c>
    </row>
    <row r="29" spans="1:12" x14ac:dyDescent="0.25">
      <c r="A29" t="s">
        <v>127</v>
      </c>
      <c r="B29">
        <f>(B21-B17*(1+B27))*B20-B16*(1+B18)</f>
        <v>0.24599999999999994</v>
      </c>
      <c r="E29">
        <f>(E21-E17*(1+E27))*E20-E16*(1+E18)</f>
        <v>0.22599999999999987</v>
      </c>
      <c r="H29">
        <f>(H21-H17*(1+H27))*H20-H16*(1+H18)</f>
        <v>0.20599999999999991</v>
      </c>
      <c r="K29">
        <f>(K21-K17*(1+K27))*K20-K16*(1+K18)</f>
        <v>0.18599999999999978</v>
      </c>
    </row>
    <row r="30" spans="1:12" x14ac:dyDescent="0.25">
      <c r="A30" t="s">
        <v>129</v>
      </c>
      <c r="B30">
        <f>B16*(1+B18)</f>
        <v>0.2</v>
      </c>
      <c r="E30" s="6">
        <f>E16*(1+E18)</f>
        <v>0.20400000000000001</v>
      </c>
      <c r="H30">
        <f>H16*(1+H18)</f>
        <v>0.20800000000000002</v>
      </c>
      <c r="K30">
        <f>K16*(1+K18)</f>
        <v>0.21200000000000002</v>
      </c>
    </row>
    <row r="34" spans="1:21" x14ac:dyDescent="0.25">
      <c r="A34" t="s">
        <v>125</v>
      </c>
      <c r="B34">
        <v>1</v>
      </c>
      <c r="C34" t="s">
        <v>79</v>
      </c>
      <c r="E34">
        <v>1</v>
      </c>
      <c r="F34" t="s">
        <v>79</v>
      </c>
      <c r="I34">
        <v>1</v>
      </c>
      <c r="J34" t="s">
        <v>79</v>
      </c>
      <c r="L34">
        <v>1</v>
      </c>
      <c r="M34" t="s">
        <v>79</v>
      </c>
      <c r="P34">
        <v>1</v>
      </c>
      <c r="Q34" t="s">
        <v>79</v>
      </c>
      <c r="S34">
        <v>1</v>
      </c>
      <c r="T34" t="s">
        <v>79</v>
      </c>
    </row>
    <row r="35" spans="1:21" x14ac:dyDescent="0.25">
      <c r="A35" t="s">
        <v>126</v>
      </c>
      <c r="B35">
        <v>0.2</v>
      </c>
      <c r="E35">
        <f>B35</f>
        <v>0.2</v>
      </c>
      <c r="I35">
        <v>0.2</v>
      </c>
      <c r="L35">
        <f>I35</f>
        <v>0.2</v>
      </c>
      <c r="P35">
        <v>0.2</v>
      </c>
      <c r="S35">
        <f>P35</f>
        <v>0.2</v>
      </c>
    </row>
    <row r="36" spans="1:21" x14ac:dyDescent="0.25">
      <c r="A36" t="s">
        <v>109</v>
      </c>
      <c r="B36">
        <f>B34-B35</f>
        <v>0.8</v>
      </c>
      <c r="E36">
        <f>B36</f>
        <v>0.8</v>
      </c>
      <c r="I36">
        <f>I34-I35</f>
        <v>0.8</v>
      </c>
      <c r="L36">
        <f>I36</f>
        <v>0.8</v>
      </c>
      <c r="P36">
        <f>P34-P35</f>
        <v>0.8</v>
      </c>
      <c r="S36">
        <f>P36</f>
        <v>0.8</v>
      </c>
    </row>
    <row r="37" spans="1:21" x14ac:dyDescent="0.25">
      <c r="A37" t="s">
        <v>128</v>
      </c>
      <c r="B37">
        <v>0.04</v>
      </c>
      <c r="E37">
        <f>B37</f>
        <v>0.04</v>
      </c>
      <c r="I37">
        <v>0.04</v>
      </c>
      <c r="L37">
        <f>I37</f>
        <v>0.04</v>
      </c>
      <c r="P37">
        <v>0.04</v>
      </c>
      <c r="S37">
        <f>P37</f>
        <v>0.04</v>
      </c>
    </row>
    <row r="39" spans="1:21" x14ac:dyDescent="0.25">
      <c r="A39" t="s">
        <v>111</v>
      </c>
      <c r="B39">
        <v>0.85</v>
      </c>
      <c r="C39">
        <f>1-B39</f>
        <v>0.15000000000000002</v>
      </c>
      <c r="E39">
        <v>0.95</v>
      </c>
      <c r="F39">
        <f>1-E39</f>
        <v>5.0000000000000044E-2</v>
      </c>
      <c r="I39">
        <v>0.85</v>
      </c>
      <c r="J39">
        <f>1-I39</f>
        <v>0.15000000000000002</v>
      </c>
      <c r="L39">
        <v>0.95</v>
      </c>
      <c r="M39">
        <f>1-L39</f>
        <v>5.0000000000000044E-2</v>
      </c>
      <c r="P39">
        <v>0.85</v>
      </c>
      <c r="Q39">
        <f>1-P39</f>
        <v>0.15000000000000002</v>
      </c>
      <c r="S39">
        <v>0.95</v>
      </c>
      <c r="T39">
        <f>1-S39</f>
        <v>5.0000000000000044E-2</v>
      </c>
    </row>
    <row r="40" spans="1:21" x14ac:dyDescent="0.25">
      <c r="A40" t="s">
        <v>110</v>
      </c>
      <c r="B40">
        <v>1.4</v>
      </c>
      <c r="C40">
        <v>0.7</v>
      </c>
      <c r="E40">
        <v>1.4</v>
      </c>
      <c r="F40">
        <v>0.7</v>
      </c>
      <c r="I40">
        <v>1.4</v>
      </c>
      <c r="J40">
        <v>0.7</v>
      </c>
      <c r="L40">
        <v>1.4</v>
      </c>
      <c r="M40">
        <v>0.7</v>
      </c>
      <c r="P40">
        <v>1.4</v>
      </c>
      <c r="Q40">
        <v>0.7</v>
      </c>
      <c r="S40">
        <v>1.4</v>
      </c>
      <c r="T40">
        <v>0.7</v>
      </c>
    </row>
    <row r="41" spans="1:21" x14ac:dyDescent="0.25">
      <c r="A41" t="s">
        <v>112</v>
      </c>
      <c r="B41">
        <f>B39*B40+C39*C40</f>
        <v>1.2949999999999999</v>
      </c>
      <c r="E41">
        <f>E39*E40+F39*F40</f>
        <v>1.3649999999999998</v>
      </c>
      <c r="I41">
        <f>I39*I40+J39*J40</f>
        <v>1.2949999999999999</v>
      </c>
      <c r="L41">
        <f>L39*L40+M39*M40</f>
        <v>1.3649999999999998</v>
      </c>
      <c r="P41">
        <f>P39*P40+Q39*Q40</f>
        <v>1.2949999999999999</v>
      </c>
      <c r="S41">
        <f>S39*S40+T39*T40</f>
        <v>1.3649999999999998</v>
      </c>
    </row>
    <row r="42" spans="1:21" x14ac:dyDescent="0.25">
      <c r="A42" t="s">
        <v>130</v>
      </c>
      <c r="B42">
        <v>0.3</v>
      </c>
      <c r="E42">
        <f>1-B42</f>
        <v>0.7</v>
      </c>
      <c r="G42" t="s">
        <v>131</v>
      </c>
      <c r="I42">
        <v>0.4</v>
      </c>
      <c r="L42">
        <f>1-I42</f>
        <v>0.6</v>
      </c>
      <c r="N42" t="s">
        <v>131</v>
      </c>
      <c r="P42">
        <v>0.5</v>
      </c>
      <c r="S42">
        <f>1-P42</f>
        <v>0.5</v>
      </c>
      <c r="U42" t="s">
        <v>131</v>
      </c>
    </row>
    <row r="44" spans="1:21" x14ac:dyDescent="0.25">
      <c r="A44" t="s">
        <v>113</v>
      </c>
      <c r="B44" s="1">
        <v>0.6</v>
      </c>
      <c r="E44" s="1">
        <v>0.6</v>
      </c>
      <c r="I44" s="1">
        <v>0.6</v>
      </c>
      <c r="L44" s="1">
        <v>0.6</v>
      </c>
      <c r="P44" s="1">
        <v>0.6</v>
      </c>
      <c r="S44" s="1">
        <v>0.6</v>
      </c>
    </row>
    <row r="45" spans="1:21" x14ac:dyDescent="0.25">
      <c r="A45" t="s">
        <v>117</v>
      </c>
      <c r="B45" s="1">
        <v>0.02</v>
      </c>
      <c r="E45" s="1">
        <v>0.02</v>
      </c>
      <c r="I45" s="1">
        <v>0.02</v>
      </c>
      <c r="L45" s="1">
        <v>0.02</v>
      </c>
      <c r="P45" s="1">
        <v>0.02</v>
      </c>
      <c r="S45" s="1">
        <v>0.02</v>
      </c>
    </row>
    <row r="46" spans="1:21" x14ac:dyDescent="0.25">
      <c r="A46" t="s">
        <v>116</v>
      </c>
      <c r="B46" s="4">
        <f>B36*(1+B37+B45)</f>
        <v>0.84800000000000009</v>
      </c>
      <c r="E46" s="7">
        <f>E36*(1+E37+E45)</f>
        <v>0.84800000000000009</v>
      </c>
      <c r="G46">
        <f>(E36*(1+G48)*B39+C40*B44*C39)*B42+(E36*(1+G48)*E39+F40*E44*F39)*E42</f>
        <v>0.84800000000000086</v>
      </c>
      <c r="I46" s="4">
        <f>I36*(1+I37+I45)</f>
        <v>0.84800000000000009</v>
      </c>
      <c r="L46" s="6">
        <f>L36*(1+L37+L45)</f>
        <v>0.84800000000000009</v>
      </c>
      <c r="N46">
        <f>(L36*(1+N48)*I39+J40*I44*J39)*I42+(L36*(1+N48)*L39+M40*L44*M39)*L42</f>
        <v>0.84799999999999998</v>
      </c>
      <c r="P46" s="4">
        <f>P36*(1+P37+P45)</f>
        <v>0.84800000000000009</v>
      </c>
      <c r="S46" s="6">
        <f>S36*(1+S37+S45)</f>
        <v>0.84800000000000009</v>
      </c>
      <c r="U46">
        <f>(S36*(1+U48)*P39+Q40*P44*Q39)*P42+(S36*(1+U48)*S39+T40*S44*T39)*S42</f>
        <v>0.84800000000000098</v>
      </c>
    </row>
    <row r="47" spans="1:21" x14ac:dyDescent="0.25">
      <c r="B47" s="4"/>
      <c r="E47" s="4"/>
      <c r="I47" s="4"/>
      <c r="L47" s="4"/>
      <c r="P47" s="4"/>
      <c r="S47" s="4"/>
    </row>
    <row r="48" spans="1:21" x14ac:dyDescent="0.25">
      <c r="A48" t="s">
        <v>114</v>
      </c>
      <c r="B48" s="1">
        <f>(B46-C40*B44*C39)/(B36*B39)-1</f>
        <v>0.15441176470588247</v>
      </c>
      <c r="E48" s="1">
        <f>(E46-F40*E44*F39)/(E36*E39)-1</f>
        <v>8.8157894736842213E-2</v>
      </c>
      <c r="G48">
        <v>0.10652173913043614</v>
      </c>
      <c r="I48" s="1">
        <f>(I46-J40*I44*J39)/(I36*I39)-1</f>
        <v>0.15441176470588247</v>
      </c>
      <c r="L48" s="1">
        <f>(L46-M40*L44*M39)/(L36*L39)-1</f>
        <v>8.8157894736842213E-2</v>
      </c>
      <c r="N48">
        <v>0.112912087912088</v>
      </c>
      <c r="P48" s="1">
        <f>(P46-Q40*P44*Q39)/(P36*P39)-1</f>
        <v>0.15441176470588247</v>
      </c>
      <c r="S48" s="1">
        <f>(S46-T40*S44*T39)/(S36*S39)-1</f>
        <v>8.8157894736842213E-2</v>
      </c>
      <c r="U48">
        <v>0.11944444444444591</v>
      </c>
    </row>
    <row r="50" spans="1:21" x14ac:dyDescent="0.25">
      <c r="A50" t="s">
        <v>127</v>
      </c>
      <c r="B50">
        <f>(B40-B36*(1+G48))*B39-B35*(1+B37)</f>
        <v>0.22956521739130337</v>
      </c>
      <c r="E50">
        <f>(E40-E36*(1+G48))*E39-E35*(1+E37)</f>
        <v>0.28104347826086845</v>
      </c>
      <c r="I50">
        <f>(I40-I36*(1+N48))*I39-I35*(1+I37)</f>
        <v>0.22521978021978006</v>
      </c>
      <c r="L50">
        <f>(L40-L36*(1+N48))*L39-L35*(1+L37)</f>
        <v>0.27618681318681304</v>
      </c>
      <c r="P50">
        <f>(P40-P36*(1+U48))*P39-P35*(1+P37)</f>
        <v>0.22077777777777674</v>
      </c>
      <c r="S50">
        <f>(S40-S36*(1+U48))*S39-S35*(1+S37)</f>
        <v>0.27122222222222103</v>
      </c>
    </row>
    <row r="51" spans="1:21" x14ac:dyDescent="0.25">
      <c r="A51" t="s">
        <v>129</v>
      </c>
      <c r="B51">
        <f>B35*(1+B37)</f>
        <v>0.20800000000000002</v>
      </c>
      <c r="E51" s="6">
        <f>E35*(1+E37)</f>
        <v>0.20800000000000002</v>
      </c>
      <c r="I51">
        <f>I35*(1+I37)</f>
        <v>0.20800000000000002</v>
      </c>
      <c r="L51" s="6">
        <f>L35*(1+L37)</f>
        <v>0.20800000000000002</v>
      </c>
      <c r="P51">
        <f>P35*(1+P37)</f>
        <v>0.20800000000000002</v>
      </c>
      <c r="S51" s="6">
        <f>S35*(1+S37)</f>
        <v>0.20800000000000002</v>
      </c>
    </row>
    <row r="52" spans="1:21" x14ac:dyDescent="0.25">
      <c r="A52" t="s">
        <v>132</v>
      </c>
      <c r="B52">
        <f>(B50-B51)/B51</f>
        <v>0.10367892976588147</v>
      </c>
      <c r="E52">
        <f>(E50-E51)/E51</f>
        <v>0.35117056856186746</v>
      </c>
      <c r="I52">
        <f>(I50-I51)/I51</f>
        <v>8.2787404902788672E-2</v>
      </c>
      <c r="L52">
        <f>(L50-L51)/L51</f>
        <v>0.32782121724429336</v>
      </c>
      <c r="P52">
        <f>(P50-P51)/P51</f>
        <v>6.1431623931618849E-2</v>
      </c>
      <c r="S52">
        <f>(S50-S51)/S51</f>
        <v>0.3039529914529856</v>
      </c>
    </row>
    <row r="55" spans="1:21" x14ac:dyDescent="0.25">
      <c r="A55" t="s">
        <v>125</v>
      </c>
      <c r="B55">
        <v>1</v>
      </c>
      <c r="C55" t="s">
        <v>79</v>
      </c>
      <c r="E55">
        <v>1</v>
      </c>
      <c r="F55" t="s">
        <v>79</v>
      </c>
      <c r="I55">
        <v>1</v>
      </c>
      <c r="J55" t="s">
        <v>79</v>
      </c>
      <c r="L55">
        <v>1</v>
      </c>
      <c r="M55" t="s">
        <v>79</v>
      </c>
      <c r="P55">
        <v>1</v>
      </c>
      <c r="Q55" t="s">
        <v>79</v>
      </c>
      <c r="S55">
        <v>1</v>
      </c>
      <c r="T55" t="s">
        <v>79</v>
      </c>
    </row>
    <row r="56" spans="1:21" x14ac:dyDescent="0.25">
      <c r="A56" t="s">
        <v>126</v>
      </c>
      <c r="B56">
        <v>0.2</v>
      </c>
      <c r="E56">
        <f>B56</f>
        <v>0.2</v>
      </c>
      <c r="I56">
        <v>0.2</v>
      </c>
      <c r="L56">
        <f>I56</f>
        <v>0.2</v>
      </c>
      <c r="P56">
        <v>0.2</v>
      </c>
      <c r="S56">
        <f>P56</f>
        <v>0.2</v>
      </c>
    </row>
    <row r="57" spans="1:21" x14ac:dyDescent="0.25">
      <c r="A57" t="s">
        <v>109</v>
      </c>
      <c r="B57">
        <f>B55-B56</f>
        <v>0.8</v>
      </c>
      <c r="E57">
        <f>B57</f>
        <v>0.8</v>
      </c>
      <c r="I57">
        <f>I55-I56</f>
        <v>0.8</v>
      </c>
      <c r="L57">
        <f>I57</f>
        <v>0.8</v>
      </c>
      <c r="P57">
        <f>P55-P56</f>
        <v>0.8</v>
      </c>
      <c r="S57">
        <f>P57</f>
        <v>0.8</v>
      </c>
    </row>
    <row r="58" spans="1:21" x14ac:dyDescent="0.25">
      <c r="A58" t="s">
        <v>128</v>
      </c>
      <c r="B58">
        <v>0.06</v>
      </c>
      <c r="E58">
        <f>B58</f>
        <v>0.06</v>
      </c>
      <c r="I58">
        <v>0.06</v>
      </c>
      <c r="L58">
        <f>I58</f>
        <v>0.06</v>
      </c>
      <c r="P58">
        <v>0.06</v>
      </c>
      <c r="S58">
        <f>P58</f>
        <v>0.06</v>
      </c>
    </row>
    <row r="60" spans="1:21" x14ac:dyDescent="0.25">
      <c r="A60" t="s">
        <v>111</v>
      </c>
      <c r="B60">
        <v>0.85</v>
      </c>
      <c r="C60">
        <f>1-B60</f>
        <v>0.15000000000000002</v>
      </c>
      <c r="E60">
        <v>0.95</v>
      </c>
      <c r="F60">
        <f>1-E60</f>
        <v>5.0000000000000044E-2</v>
      </c>
      <c r="I60">
        <v>0.85</v>
      </c>
      <c r="J60">
        <f>1-I60</f>
        <v>0.15000000000000002</v>
      </c>
      <c r="L60">
        <v>0.95</v>
      </c>
      <c r="M60">
        <f>1-L60</f>
        <v>5.0000000000000044E-2</v>
      </c>
      <c r="P60">
        <v>0.85</v>
      </c>
      <c r="Q60">
        <f>1-P60</f>
        <v>0.15000000000000002</v>
      </c>
      <c r="S60">
        <v>0.95</v>
      </c>
      <c r="T60">
        <f>1-S60</f>
        <v>5.0000000000000044E-2</v>
      </c>
    </row>
    <row r="61" spans="1:21" x14ac:dyDescent="0.25">
      <c r="A61" t="s">
        <v>110</v>
      </c>
      <c r="B61">
        <v>1.4</v>
      </c>
      <c r="C61">
        <v>0.7</v>
      </c>
      <c r="E61">
        <v>1.4</v>
      </c>
      <c r="F61">
        <v>0.7</v>
      </c>
      <c r="I61">
        <v>1.4</v>
      </c>
      <c r="J61">
        <v>0.7</v>
      </c>
      <c r="L61">
        <v>1.4</v>
      </c>
      <c r="M61">
        <v>0.7</v>
      </c>
      <c r="P61">
        <v>1.4</v>
      </c>
      <c r="Q61">
        <v>0.7</v>
      </c>
      <c r="S61">
        <v>1.4</v>
      </c>
      <c r="T61">
        <v>0.7</v>
      </c>
    </row>
    <row r="62" spans="1:21" x14ac:dyDescent="0.25">
      <c r="A62" t="s">
        <v>112</v>
      </c>
      <c r="B62">
        <f>B60*B61+C60*C61</f>
        <v>1.2949999999999999</v>
      </c>
      <c r="E62">
        <f>E60*E61+F60*F61</f>
        <v>1.3649999999999998</v>
      </c>
      <c r="I62">
        <f>I60*I61+J60*J61</f>
        <v>1.2949999999999999</v>
      </c>
      <c r="L62">
        <f>L60*L61+M60*M61</f>
        <v>1.3649999999999998</v>
      </c>
      <c r="P62">
        <f>P60*P61+Q60*Q61</f>
        <v>1.2949999999999999</v>
      </c>
      <c r="S62">
        <f>S60*S61+T60*T61</f>
        <v>1.3649999999999998</v>
      </c>
    </row>
    <row r="63" spans="1:21" x14ac:dyDescent="0.25">
      <c r="A63" t="s">
        <v>130</v>
      </c>
      <c r="B63">
        <v>0.3</v>
      </c>
      <c r="E63">
        <f>1-B63</f>
        <v>0.7</v>
      </c>
      <c r="G63" t="s">
        <v>131</v>
      </c>
      <c r="I63">
        <v>0.4</v>
      </c>
      <c r="L63">
        <f>1-I63</f>
        <v>0.6</v>
      </c>
      <c r="N63" t="s">
        <v>131</v>
      </c>
      <c r="P63">
        <v>0.5</v>
      </c>
      <c r="S63">
        <f>1-P63</f>
        <v>0.5</v>
      </c>
      <c r="U63" t="s">
        <v>131</v>
      </c>
    </row>
    <row r="65" spans="1:21" x14ac:dyDescent="0.25">
      <c r="A65" t="s">
        <v>113</v>
      </c>
      <c r="B65" s="1">
        <v>0.6</v>
      </c>
      <c r="E65" s="1">
        <v>0.6</v>
      </c>
      <c r="I65" s="1">
        <v>0.6</v>
      </c>
      <c r="L65" s="1">
        <v>0.6</v>
      </c>
      <c r="P65" s="1">
        <v>0.6</v>
      </c>
      <c r="S65" s="1">
        <v>0.6</v>
      </c>
    </row>
    <row r="66" spans="1:21" x14ac:dyDescent="0.25">
      <c r="A66" t="s">
        <v>117</v>
      </c>
      <c r="B66" s="1">
        <v>0.02</v>
      </c>
      <c r="E66" s="1">
        <v>0.02</v>
      </c>
      <c r="I66" s="1">
        <v>0.02</v>
      </c>
      <c r="L66" s="1">
        <v>0.02</v>
      </c>
      <c r="P66" s="1">
        <v>0.02</v>
      </c>
      <c r="S66" s="1">
        <v>0.02</v>
      </c>
    </row>
    <row r="67" spans="1:21" x14ac:dyDescent="0.25">
      <c r="A67" t="s">
        <v>116</v>
      </c>
      <c r="B67" s="4">
        <f>B57*(1+B58+B66)</f>
        <v>0.8640000000000001</v>
      </c>
      <c r="E67" s="7">
        <f>E57*(1+E58+E66)</f>
        <v>0.8640000000000001</v>
      </c>
      <c r="G67">
        <f>(E57*(1+G69)*B60+C61*B65*C60)*B63+(E57*(1+G69)*E60+F61*E65*F60)*E63</f>
        <v>0.86399999999999966</v>
      </c>
      <c r="I67" s="4">
        <f>I57*(1+I58+I66)</f>
        <v>0.8640000000000001</v>
      </c>
      <c r="L67" s="6">
        <f>L57*(1+L58+L66)</f>
        <v>0.8640000000000001</v>
      </c>
      <c r="N67">
        <f>(L57*(1+N69)*I60+J61*I65*J60)*I63+(L57*(1+N69)*L60+M61*L65*M60)*L63</f>
        <v>0.86399999999999988</v>
      </c>
      <c r="P67" s="4">
        <f>P57*(1+P58+P66)</f>
        <v>0.8640000000000001</v>
      </c>
      <c r="S67" s="6">
        <f>S57*(1+S58+S66)</f>
        <v>0.8640000000000001</v>
      </c>
      <c r="U67">
        <f>(S57*(1+U69)*P60+Q61*P65*Q60)*P63+(S57*(1+U69)*S60+T61*S65*T60)*S63</f>
        <v>0.86399999999999966</v>
      </c>
    </row>
    <row r="68" spans="1:21" x14ac:dyDescent="0.25">
      <c r="B68" s="4"/>
      <c r="E68" s="4"/>
      <c r="I68" s="4"/>
      <c r="L68" s="4"/>
      <c r="P68" s="4"/>
      <c r="S68" s="4"/>
    </row>
    <row r="69" spans="1:21" x14ac:dyDescent="0.25">
      <c r="A69" t="s">
        <v>114</v>
      </c>
      <c r="B69" s="1">
        <f>(B67-C61*B65*C60)/(B57*B60)-1</f>
        <v>0.17794117647058849</v>
      </c>
      <c r="E69" s="1">
        <f>(E67-F61*E65*F60)/(E57*E60)-1</f>
        <v>0.10921052631578965</v>
      </c>
      <c r="G69">
        <v>0.12826086956521707</v>
      </c>
      <c r="I69" s="1">
        <f>(I67-J61*I65*J60)/(I57*I60)-1</f>
        <v>0.17794117647058849</v>
      </c>
      <c r="L69" s="1">
        <f>(L67-M61*L65*M60)/(L57*L60)-1</f>
        <v>0.10921052631578965</v>
      </c>
      <c r="N69">
        <v>0.13489010989010972</v>
      </c>
      <c r="P69" s="1">
        <f>(P67-Q61*P65*Q60)/(P57*P60)-1</f>
        <v>0.17794117647058849</v>
      </c>
      <c r="S69" s="1">
        <f>(S67-T61*S65*T60)/(S57*S60)-1</f>
        <v>0.10921052631578965</v>
      </c>
      <c r="U69">
        <v>0.14166666666666641</v>
      </c>
    </row>
    <row r="71" spans="1:21" x14ac:dyDescent="0.25">
      <c r="A71" t="s">
        <v>127</v>
      </c>
      <c r="B71">
        <f>(B61-B57*(1+G69))*B60-B56*(1+B58)</f>
        <v>0.21078260869565235</v>
      </c>
      <c r="E71">
        <f>(E61-E57*(1+G69))*E60-E56*(1+E58)</f>
        <v>0.26052173913043497</v>
      </c>
      <c r="I71">
        <f>(I61-I57*(1+N69))*I60-I56*(1+I58)</f>
        <v>0.20627472527472529</v>
      </c>
      <c r="L71">
        <f>(L61-L57*(1+N69))*L60-L56*(1+L58)</f>
        <v>0.25548351648351647</v>
      </c>
      <c r="P71">
        <f>(P61-P57*(1+U69))*P60-P56*(1+P58)</f>
        <v>0.20166666666666677</v>
      </c>
      <c r="S71">
        <f>(S61-S57*(1+U69))*S60-S56*(1+S58)</f>
        <v>0.25033333333333341</v>
      </c>
    </row>
    <row r="72" spans="1:21" x14ac:dyDescent="0.25">
      <c r="A72" t="s">
        <v>129</v>
      </c>
      <c r="B72">
        <f>B56*(1+B58)</f>
        <v>0.21200000000000002</v>
      </c>
      <c r="E72" s="6">
        <f>E56*(1+E58)</f>
        <v>0.21200000000000002</v>
      </c>
      <c r="I72">
        <f>I56*(1+I58)</f>
        <v>0.21200000000000002</v>
      </c>
      <c r="L72" s="6">
        <f>L56*(1+L58)</f>
        <v>0.21200000000000002</v>
      </c>
      <c r="P72">
        <f>P56*(1+P58)</f>
        <v>0.21200000000000002</v>
      </c>
      <c r="S72" s="6">
        <f>S56*(1+S58)</f>
        <v>0.21200000000000002</v>
      </c>
    </row>
    <row r="73" spans="1:21" x14ac:dyDescent="0.25">
      <c r="A73" t="s">
        <v>132</v>
      </c>
      <c r="B73">
        <f>(B71-B72)/B72</f>
        <v>-5.7424118129607085E-3</v>
      </c>
      <c r="E73">
        <f>(E71-E72)/E72</f>
        <v>0.22887612797374973</v>
      </c>
      <c r="I73">
        <f>(I71-I72)/I72</f>
        <v>-2.7006012855069487E-2</v>
      </c>
      <c r="L73">
        <f>(L71-L72)/L72</f>
        <v>0.20511092680903983</v>
      </c>
      <c r="P73">
        <f>(P71-P72)/P72</f>
        <v>-4.8742138364779475E-2</v>
      </c>
      <c r="S73">
        <f>(S71-S72)/S72</f>
        <v>0.18081761006289332</v>
      </c>
    </row>
    <row r="77" spans="1:21" x14ac:dyDescent="0.25">
      <c r="A77" t="s">
        <v>119</v>
      </c>
    </row>
    <row r="78" spans="1:21" x14ac:dyDescent="0.25">
      <c r="B78">
        <v>0</v>
      </c>
      <c r="C78">
        <v>1</v>
      </c>
      <c r="D78">
        <v>2</v>
      </c>
      <c r="E78">
        <v>3</v>
      </c>
      <c r="F78">
        <v>4</v>
      </c>
      <c r="G78">
        <v>5</v>
      </c>
      <c r="H78">
        <v>6</v>
      </c>
      <c r="I78">
        <v>7</v>
      </c>
      <c r="J78">
        <v>8</v>
      </c>
      <c r="K78">
        <v>9</v>
      </c>
      <c r="L78">
        <v>10</v>
      </c>
      <c r="M78" t="s">
        <v>118</v>
      </c>
    </row>
    <row r="79" spans="1:21" x14ac:dyDescent="0.25">
      <c r="A79" t="s">
        <v>36</v>
      </c>
      <c r="B79">
        <v>-10</v>
      </c>
      <c r="C79">
        <v>3</v>
      </c>
      <c r="D79">
        <v>3</v>
      </c>
      <c r="E79">
        <v>3</v>
      </c>
      <c r="F79">
        <v>3</v>
      </c>
      <c r="G79">
        <v>3</v>
      </c>
      <c r="H79">
        <v>3</v>
      </c>
      <c r="I79">
        <v>3</v>
      </c>
      <c r="J79">
        <v>3</v>
      </c>
      <c r="K79">
        <v>3</v>
      </c>
      <c r="L79">
        <v>3</v>
      </c>
      <c r="M79">
        <f>SUM(B79:L79)</f>
        <v>20</v>
      </c>
    </row>
    <row r="80" spans="1:21" x14ac:dyDescent="0.25">
      <c r="A80" t="s">
        <v>37</v>
      </c>
      <c r="B80" s="1">
        <v>0.12</v>
      </c>
    </row>
    <row r="81" spans="1:13" x14ac:dyDescent="0.25">
      <c r="A81" t="s">
        <v>39</v>
      </c>
      <c r="B81">
        <f>B79/(1+$B80)^B$134</f>
        <v>-10</v>
      </c>
      <c r="C81">
        <f t="shared" ref="C81:L81" si="0">C79/(1+$B80)^C$134</f>
        <v>3</v>
      </c>
      <c r="D81">
        <f t="shared" si="0"/>
        <v>3</v>
      </c>
      <c r="E81">
        <f t="shared" si="0"/>
        <v>3</v>
      </c>
      <c r="F81">
        <f t="shared" si="0"/>
        <v>3</v>
      </c>
      <c r="G81">
        <f t="shared" si="0"/>
        <v>3</v>
      </c>
      <c r="H81">
        <f t="shared" si="0"/>
        <v>3</v>
      </c>
      <c r="I81">
        <f t="shared" si="0"/>
        <v>3</v>
      </c>
      <c r="J81">
        <f t="shared" si="0"/>
        <v>3</v>
      </c>
      <c r="K81">
        <f t="shared" si="0"/>
        <v>3</v>
      </c>
      <c r="L81">
        <f t="shared" si="0"/>
        <v>3</v>
      </c>
    </row>
    <row r="82" spans="1:13" x14ac:dyDescent="0.25">
      <c r="A82" t="s">
        <v>38</v>
      </c>
      <c r="B82">
        <f>SUM(B81:L81)</f>
        <v>20</v>
      </c>
    </row>
    <row r="84" spans="1:13" x14ac:dyDescent="0.25">
      <c r="A84" t="s">
        <v>40</v>
      </c>
      <c r="B84" s="1">
        <v>0.1</v>
      </c>
    </row>
    <row r="85" spans="1:13" x14ac:dyDescent="0.25">
      <c r="A85" t="s">
        <v>36</v>
      </c>
      <c r="B85">
        <v>-20</v>
      </c>
      <c r="C85">
        <v>3</v>
      </c>
      <c r="D85">
        <f>C85*(1+$B84)</f>
        <v>3.3000000000000003</v>
      </c>
      <c r="E85">
        <f t="shared" ref="E85:L85" si="1">D85*(1+$B84)</f>
        <v>3.6300000000000008</v>
      </c>
      <c r="F85">
        <f t="shared" si="1"/>
        <v>3.9930000000000012</v>
      </c>
      <c r="G85">
        <f t="shared" si="1"/>
        <v>4.3923000000000014</v>
      </c>
      <c r="H85">
        <f t="shared" si="1"/>
        <v>4.8315300000000017</v>
      </c>
      <c r="I85">
        <f t="shared" si="1"/>
        <v>5.3146830000000023</v>
      </c>
      <c r="J85">
        <f t="shared" si="1"/>
        <v>5.8461513000000034</v>
      </c>
      <c r="K85">
        <f t="shared" si="1"/>
        <v>6.4307664300000038</v>
      </c>
      <c r="L85">
        <f t="shared" si="1"/>
        <v>7.0738430730000044</v>
      </c>
      <c r="M85">
        <f>SUM(B85:L85)</f>
        <v>27.812273803000018</v>
      </c>
    </row>
    <row r="86" spans="1:13" x14ac:dyDescent="0.25">
      <c r="A86" t="s">
        <v>37</v>
      </c>
      <c r="B86" s="1">
        <v>0.12</v>
      </c>
    </row>
    <row r="87" spans="1:13" x14ac:dyDescent="0.25">
      <c r="A87" t="s">
        <v>39</v>
      </c>
      <c r="B87">
        <f t="shared" ref="B87:L87" si="2">B85/(1+$B86)^B$134</f>
        <v>-20</v>
      </c>
      <c r="C87">
        <f t="shared" si="2"/>
        <v>3</v>
      </c>
      <c r="D87">
        <f t="shared" si="2"/>
        <v>3.3000000000000003</v>
      </c>
      <c r="E87">
        <f t="shared" si="2"/>
        <v>3.6300000000000008</v>
      </c>
      <c r="F87">
        <f t="shared" si="2"/>
        <v>3.9930000000000012</v>
      </c>
      <c r="G87">
        <f t="shared" si="2"/>
        <v>4.3923000000000014</v>
      </c>
      <c r="H87">
        <f t="shared" si="2"/>
        <v>4.8315300000000017</v>
      </c>
      <c r="I87">
        <f t="shared" si="2"/>
        <v>5.3146830000000023</v>
      </c>
      <c r="J87">
        <f t="shared" si="2"/>
        <v>5.8461513000000034</v>
      </c>
      <c r="K87">
        <f t="shared" si="2"/>
        <v>6.4307664300000038</v>
      </c>
      <c r="L87">
        <f t="shared" si="2"/>
        <v>7.0738430730000044</v>
      </c>
    </row>
    <row r="88" spans="1:13" x14ac:dyDescent="0.25">
      <c r="A88" t="s">
        <v>38</v>
      </c>
      <c r="B88">
        <f>SUM(B87:L87)</f>
        <v>27.812273803000018</v>
      </c>
    </row>
    <row r="90" spans="1:13" x14ac:dyDescent="0.25">
      <c r="B90">
        <v>0</v>
      </c>
      <c r="C90">
        <v>1</v>
      </c>
      <c r="D90">
        <v>2</v>
      </c>
      <c r="E90">
        <v>3</v>
      </c>
      <c r="F90">
        <v>4</v>
      </c>
      <c r="G90">
        <v>5</v>
      </c>
      <c r="H90">
        <v>6</v>
      </c>
      <c r="I90">
        <v>7</v>
      </c>
      <c r="J90">
        <v>8</v>
      </c>
      <c r="K90">
        <v>9</v>
      </c>
      <c r="L90">
        <v>10</v>
      </c>
    </row>
    <row r="91" spans="1:13" x14ac:dyDescent="0.25">
      <c r="A91" t="s">
        <v>36</v>
      </c>
      <c r="B91">
        <v>-10</v>
      </c>
      <c r="C91">
        <v>3</v>
      </c>
      <c r="D91">
        <v>3</v>
      </c>
      <c r="E91">
        <v>3</v>
      </c>
      <c r="F91">
        <v>3</v>
      </c>
      <c r="G91">
        <v>3</v>
      </c>
      <c r="H91">
        <v>3</v>
      </c>
      <c r="I91">
        <v>3</v>
      </c>
      <c r="J91">
        <v>3</v>
      </c>
      <c r="K91">
        <v>3</v>
      </c>
      <c r="L91">
        <v>3</v>
      </c>
    </row>
    <row r="92" spans="1:13" x14ac:dyDescent="0.25">
      <c r="A92" t="s">
        <v>37</v>
      </c>
      <c r="B92" s="1">
        <v>0.05</v>
      </c>
    </row>
    <row r="93" spans="1:13" x14ac:dyDescent="0.25">
      <c r="A93" t="s">
        <v>39</v>
      </c>
      <c r="B93">
        <f t="shared" ref="B93:L93" si="3">B91/(1+$B92)^B$134</f>
        <v>-10</v>
      </c>
      <c r="C93">
        <f t="shared" si="3"/>
        <v>3</v>
      </c>
      <c r="D93">
        <f t="shared" si="3"/>
        <v>3</v>
      </c>
      <c r="E93">
        <f t="shared" si="3"/>
        <v>3</v>
      </c>
      <c r="F93">
        <f t="shared" si="3"/>
        <v>3</v>
      </c>
      <c r="G93">
        <f t="shared" si="3"/>
        <v>3</v>
      </c>
      <c r="H93">
        <f t="shared" si="3"/>
        <v>3</v>
      </c>
      <c r="I93">
        <f t="shared" si="3"/>
        <v>3</v>
      </c>
      <c r="J93">
        <f t="shared" si="3"/>
        <v>3</v>
      </c>
      <c r="K93">
        <f t="shared" si="3"/>
        <v>3</v>
      </c>
      <c r="L93">
        <f t="shared" si="3"/>
        <v>3</v>
      </c>
    </row>
    <row r="94" spans="1:13" x14ac:dyDescent="0.25">
      <c r="A94" t="s">
        <v>38</v>
      </c>
      <c r="B94">
        <f>SUM(B93:L93)</f>
        <v>20</v>
      </c>
    </row>
    <row r="96" spans="1:13" x14ac:dyDescent="0.25">
      <c r="A96" t="s">
        <v>40</v>
      </c>
      <c r="B96" s="1">
        <v>0.1</v>
      </c>
    </row>
    <row r="97" spans="1:12" x14ac:dyDescent="0.25">
      <c r="A97" t="s">
        <v>36</v>
      </c>
      <c r="B97">
        <v>-20</v>
      </c>
      <c r="C97">
        <v>3</v>
      </c>
      <c r="D97">
        <f t="shared" ref="D97:L97" si="4">C97*(1+$B96)</f>
        <v>3.3000000000000003</v>
      </c>
      <c r="E97">
        <f t="shared" si="4"/>
        <v>3.6300000000000008</v>
      </c>
      <c r="F97">
        <f t="shared" si="4"/>
        <v>3.9930000000000012</v>
      </c>
      <c r="G97">
        <f t="shared" si="4"/>
        <v>4.3923000000000014</v>
      </c>
      <c r="H97">
        <f t="shared" si="4"/>
        <v>4.8315300000000017</v>
      </c>
      <c r="I97">
        <f t="shared" si="4"/>
        <v>5.3146830000000023</v>
      </c>
      <c r="J97">
        <f t="shared" si="4"/>
        <v>5.8461513000000034</v>
      </c>
      <c r="K97">
        <f t="shared" si="4"/>
        <v>6.4307664300000038</v>
      </c>
      <c r="L97">
        <f t="shared" si="4"/>
        <v>7.0738430730000044</v>
      </c>
    </row>
    <row r="98" spans="1:12" x14ac:dyDescent="0.25">
      <c r="A98" t="s">
        <v>37</v>
      </c>
      <c r="B98" s="1">
        <v>0.05</v>
      </c>
    </row>
    <row r="99" spans="1:12" x14ac:dyDescent="0.25">
      <c r="A99" t="s">
        <v>39</v>
      </c>
      <c r="B99">
        <f t="shared" ref="B99:L99" si="5">B97/(1+$B98)^B$134</f>
        <v>-20</v>
      </c>
      <c r="C99">
        <f t="shared" si="5"/>
        <v>3</v>
      </c>
      <c r="D99">
        <f t="shared" si="5"/>
        <v>3.3000000000000003</v>
      </c>
      <c r="E99">
        <f t="shared" si="5"/>
        <v>3.6300000000000008</v>
      </c>
      <c r="F99">
        <f t="shared" si="5"/>
        <v>3.9930000000000012</v>
      </c>
      <c r="G99">
        <f t="shared" si="5"/>
        <v>4.3923000000000014</v>
      </c>
      <c r="H99">
        <f t="shared" si="5"/>
        <v>4.8315300000000017</v>
      </c>
      <c r="I99">
        <f t="shared" si="5"/>
        <v>5.3146830000000023</v>
      </c>
      <c r="J99">
        <f t="shared" si="5"/>
        <v>5.8461513000000034</v>
      </c>
      <c r="K99">
        <f t="shared" si="5"/>
        <v>6.4307664300000038</v>
      </c>
      <c r="L99">
        <f t="shared" si="5"/>
        <v>7.0738430730000044</v>
      </c>
    </row>
    <row r="100" spans="1:12" x14ac:dyDescent="0.25">
      <c r="A100" t="s">
        <v>38</v>
      </c>
      <c r="B100">
        <f>SUM(B99:L99)</f>
        <v>27.812273803000018</v>
      </c>
    </row>
    <row r="103" spans="1:12" x14ac:dyDescent="0.25">
      <c r="A103" t="s">
        <v>120</v>
      </c>
    </row>
    <row r="104" spans="1:12" x14ac:dyDescent="0.25">
      <c r="A104" t="s">
        <v>121</v>
      </c>
      <c r="B104">
        <v>80</v>
      </c>
    </row>
    <row r="105" spans="1:12" x14ac:dyDescent="0.25">
      <c r="A105" t="s">
        <v>122</v>
      </c>
    </row>
    <row r="106" spans="1:12" x14ac:dyDescent="0.25">
      <c r="A106" t="s">
        <v>78</v>
      </c>
      <c r="B106">
        <v>10</v>
      </c>
    </row>
    <row r="107" spans="1:12" x14ac:dyDescent="0.25">
      <c r="A107" t="s">
        <v>123</v>
      </c>
      <c r="B107" s="1">
        <v>0.25</v>
      </c>
    </row>
    <row r="108" spans="1:12" x14ac:dyDescent="0.25">
      <c r="A108" t="s">
        <v>124</v>
      </c>
      <c r="B108">
        <f>B$104-B106</f>
        <v>70</v>
      </c>
    </row>
    <row r="109" spans="1:12" x14ac:dyDescent="0.25">
      <c r="A109" t="s">
        <v>15</v>
      </c>
      <c r="B109">
        <f>B108*B107-B106</f>
        <v>7.5</v>
      </c>
    </row>
    <row r="111" spans="1:12" x14ac:dyDescent="0.25">
      <c r="A111" t="s">
        <v>122</v>
      </c>
    </row>
    <row r="112" spans="1:12" x14ac:dyDescent="0.25">
      <c r="A112" t="s">
        <v>78</v>
      </c>
      <c r="B112">
        <v>20</v>
      </c>
    </row>
    <row r="113" spans="1:2" x14ac:dyDescent="0.25">
      <c r="A113" t="s">
        <v>123</v>
      </c>
      <c r="B113" s="1">
        <v>0.3</v>
      </c>
    </row>
    <row r="114" spans="1:2" x14ac:dyDescent="0.25">
      <c r="A114" t="s">
        <v>124</v>
      </c>
      <c r="B114">
        <f>B$104-B112</f>
        <v>60</v>
      </c>
    </row>
    <row r="115" spans="1:2" x14ac:dyDescent="0.25">
      <c r="A115" t="s">
        <v>15</v>
      </c>
      <c r="B115">
        <f>B114*B113-B112</f>
        <v>-2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73"/>
  <sheetViews>
    <sheetView workbookViewId="0">
      <selection activeCell="F1" sqref="F1"/>
    </sheetView>
  </sheetViews>
  <sheetFormatPr defaultRowHeight="12.5" x14ac:dyDescent="0.25"/>
  <cols>
    <col min="1" max="1" width="37.1796875" customWidth="1"/>
  </cols>
  <sheetData>
    <row r="2" spans="1:17" x14ac:dyDescent="0.25">
      <c r="A2" t="s">
        <v>125</v>
      </c>
      <c r="C2">
        <v>1</v>
      </c>
      <c r="D2" t="s">
        <v>79</v>
      </c>
      <c r="F2">
        <v>1</v>
      </c>
      <c r="G2" t="s">
        <v>79</v>
      </c>
      <c r="J2">
        <v>1</v>
      </c>
      <c r="K2" t="s">
        <v>79</v>
      </c>
      <c r="M2">
        <v>1</v>
      </c>
      <c r="N2" t="s">
        <v>79</v>
      </c>
      <c r="P2">
        <v>1</v>
      </c>
      <c r="Q2" t="s">
        <v>79</v>
      </c>
    </row>
    <row r="3" spans="1:17" x14ac:dyDescent="0.25">
      <c r="A3" t="s">
        <v>126</v>
      </c>
      <c r="C3">
        <v>0.2</v>
      </c>
      <c r="F3">
        <v>0.2</v>
      </c>
      <c r="J3">
        <v>0.2</v>
      </c>
      <c r="M3">
        <v>0.2</v>
      </c>
      <c r="P3">
        <v>0.5</v>
      </c>
    </row>
    <row r="4" spans="1:17" x14ac:dyDescent="0.25">
      <c r="A4" t="s">
        <v>109</v>
      </c>
      <c r="C4">
        <f>C2-C3</f>
        <v>0.8</v>
      </c>
      <c r="F4">
        <f>F2-F3</f>
        <v>0.8</v>
      </c>
      <c r="J4">
        <f>J2-J3</f>
        <v>0.8</v>
      </c>
      <c r="M4">
        <f>M2-M3</f>
        <v>0.8</v>
      </c>
      <c r="P4">
        <f>P2-P3</f>
        <v>0.5</v>
      </c>
    </row>
    <row r="5" spans="1:17" x14ac:dyDescent="0.25">
      <c r="A5" t="s">
        <v>128</v>
      </c>
      <c r="C5">
        <v>0.01</v>
      </c>
      <c r="F5">
        <v>0.01</v>
      </c>
      <c r="J5">
        <v>0.06</v>
      </c>
      <c r="M5">
        <v>0.01</v>
      </c>
      <c r="P5">
        <v>0.01</v>
      </c>
    </row>
    <row r="7" spans="1:17" x14ac:dyDescent="0.25">
      <c r="A7" t="s">
        <v>111</v>
      </c>
      <c r="C7">
        <v>0.68</v>
      </c>
      <c r="D7">
        <f>1-C7</f>
        <v>0.31999999999999995</v>
      </c>
      <c r="F7">
        <v>0.75</v>
      </c>
      <c r="G7">
        <f>1-F7</f>
        <v>0.25</v>
      </c>
      <c r="J7">
        <v>0.75</v>
      </c>
      <c r="K7">
        <f>1-J7</f>
        <v>0.25</v>
      </c>
      <c r="M7">
        <v>0.75</v>
      </c>
      <c r="N7">
        <f>1-M7</f>
        <v>0.25</v>
      </c>
      <c r="P7">
        <v>0.75</v>
      </c>
      <c r="Q7">
        <f>1-P7</f>
        <v>0.25</v>
      </c>
    </row>
    <row r="8" spans="1:17" x14ac:dyDescent="0.25">
      <c r="A8" t="s">
        <v>110</v>
      </c>
      <c r="C8">
        <v>1.3</v>
      </c>
      <c r="D8">
        <v>0.7</v>
      </c>
      <c r="F8">
        <v>1.3</v>
      </c>
      <c r="G8">
        <v>0.7</v>
      </c>
      <c r="J8">
        <v>1.3</v>
      </c>
      <c r="K8">
        <v>0.7</v>
      </c>
      <c r="M8">
        <v>1.3</v>
      </c>
      <c r="N8">
        <v>0.7</v>
      </c>
      <c r="P8">
        <v>1.3</v>
      </c>
      <c r="Q8">
        <v>0.7</v>
      </c>
    </row>
    <row r="9" spans="1:17" x14ac:dyDescent="0.25">
      <c r="A9" t="s">
        <v>112</v>
      </c>
      <c r="C9">
        <f>C7*C8+D7*D8</f>
        <v>1.1080000000000001</v>
      </c>
      <c r="F9">
        <f>F7*F8+G7*G8</f>
        <v>1.1500000000000001</v>
      </c>
      <c r="J9">
        <f>J7*J8+K7*K8</f>
        <v>1.1500000000000001</v>
      </c>
      <c r="M9">
        <f>M7*M8+N7*N8</f>
        <v>1.1500000000000001</v>
      </c>
      <c r="P9">
        <f>P7*P8+Q7*Q8</f>
        <v>1.1500000000000001</v>
      </c>
    </row>
    <row r="10" spans="1:17" x14ac:dyDescent="0.25">
      <c r="A10" t="s">
        <v>130</v>
      </c>
      <c r="C10">
        <v>0.7</v>
      </c>
      <c r="F10">
        <v>0.3</v>
      </c>
      <c r="J10">
        <v>0.7</v>
      </c>
      <c r="M10">
        <v>0.7</v>
      </c>
      <c r="P10">
        <v>0.7</v>
      </c>
    </row>
    <row r="12" spans="1:17" x14ac:dyDescent="0.25">
      <c r="A12" t="s">
        <v>113</v>
      </c>
      <c r="C12" s="1">
        <v>0.6</v>
      </c>
      <c r="F12" s="1">
        <v>0.6</v>
      </c>
      <c r="J12" s="1">
        <v>0.6</v>
      </c>
      <c r="M12" s="1">
        <v>0.6</v>
      </c>
      <c r="P12" s="1">
        <v>0.6</v>
      </c>
    </row>
    <row r="13" spans="1:17" x14ac:dyDescent="0.25">
      <c r="A13" t="s">
        <v>117</v>
      </c>
      <c r="C13" s="1">
        <v>0.02</v>
      </c>
      <c r="F13" s="1">
        <v>0.02</v>
      </c>
      <c r="J13" s="1">
        <v>0.02</v>
      </c>
      <c r="M13" s="1">
        <v>0.02</v>
      </c>
      <c r="P13" s="1">
        <v>0.02</v>
      </c>
    </row>
    <row r="14" spans="1:17" x14ac:dyDescent="0.25">
      <c r="A14" t="s">
        <v>116</v>
      </c>
      <c r="C14" s="4">
        <f>C4*(1+C5+C13)</f>
        <v>0.82400000000000007</v>
      </c>
      <c r="F14" s="4">
        <f>F4*(1+F5+F13)</f>
        <v>0.82400000000000007</v>
      </c>
      <c r="J14" s="4">
        <f>J4*(1+J5+J13)</f>
        <v>0.8640000000000001</v>
      </c>
      <c r="M14" s="4">
        <f>M4*(1+M5+M13)</f>
        <v>0.82400000000000007</v>
      </c>
      <c r="P14" s="4">
        <f>P4*(1+P5+P13)</f>
        <v>0.51500000000000001</v>
      </c>
    </row>
    <row r="15" spans="1:17" x14ac:dyDescent="0.25">
      <c r="C15" s="4"/>
      <c r="F15" s="4"/>
      <c r="J15" s="4"/>
      <c r="M15" s="4"/>
      <c r="P15" s="4"/>
    </row>
    <row r="16" spans="1:17" x14ac:dyDescent="0.25">
      <c r="A16" t="s">
        <v>114</v>
      </c>
      <c r="C16" s="1">
        <f>(C14-D8*C12*D7)/(C4*C7)-1</f>
        <v>0.26764705882352957</v>
      </c>
      <c r="F16" s="1">
        <f>(F14-G8*F12*G7)/(F4*F7)-1</f>
        <v>0.19833333333333325</v>
      </c>
      <c r="J16" s="1">
        <f>(J14-K8*J12*K7)/(J4*J7)-1</f>
        <v>0.2649999999999999</v>
      </c>
      <c r="M16" s="1">
        <f>(M14-N8*M12*N7)/(M4*M7)-1</f>
        <v>0.19833333333333325</v>
      </c>
      <c r="P16" s="1">
        <f>(P14-Q8*P12*Q7)/(P4*P7)-1</f>
        <v>9.333333333333349E-2</v>
      </c>
    </row>
    <row r="18" spans="1:16" x14ac:dyDescent="0.25">
      <c r="A18" t="s">
        <v>127</v>
      </c>
      <c r="C18">
        <f>(C8-C4*(1+C16))*C7-C3*(1+C5)</f>
        <v>-7.6000000000001344E-3</v>
      </c>
      <c r="F18">
        <f>(F8-F4*(1+F16))*F7-F3*(1+F5)</f>
        <v>5.3999999999999992E-2</v>
      </c>
      <c r="J18">
        <f>(J8-J4*(1+J16))*J7-J3*(1+J5)</f>
        <v>4.0000000000000036E-3</v>
      </c>
      <c r="M18">
        <f>(M8-M4*(1+M16))*M7-M3*(1+M5)</f>
        <v>5.3999999999999992E-2</v>
      </c>
      <c r="P18">
        <f>(P8-P4*(1+P16))*P7-P3*(1+P5)</f>
        <v>5.9999999999999942E-2</v>
      </c>
    </row>
    <row r="23" spans="1:16" x14ac:dyDescent="0.25">
      <c r="A23" t="s">
        <v>125</v>
      </c>
      <c r="C23">
        <v>1</v>
      </c>
      <c r="D23" t="s">
        <v>79</v>
      </c>
      <c r="F23">
        <v>1</v>
      </c>
      <c r="G23" t="s">
        <v>79</v>
      </c>
      <c r="J23">
        <v>1</v>
      </c>
      <c r="K23" t="s">
        <v>79</v>
      </c>
    </row>
    <row r="24" spans="1:16" x14ac:dyDescent="0.25">
      <c r="A24" t="s">
        <v>126</v>
      </c>
      <c r="C24">
        <v>0.2</v>
      </c>
      <c r="F24">
        <f>C24</f>
        <v>0.2</v>
      </c>
      <c r="J24">
        <f>C24</f>
        <v>0.2</v>
      </c>
    </row>
    <row r="25" spans="1:16" x14ac:dyDescent="0.25">
      <c r="A25" t="s">
        <v>109</v>
      </c>
      <c r="C25">
        <f>C23-C24</f>
        <v>0.8</v>
      </c>
      <c r="F25">
        <f>C25</f>
        <v>0.8</v>
      </c>
      <c r="J25">
        <f>C25</f>
        <v>0.8</v>
      </c>
    </row>
    <row r="26" spans="1:16" x14ac:dyDescent="0.25">
      <c r="A26" t="s">
        <v>128</v>
      </c>
      <c r="C26">
        <v>0.01</v>
      </c>
      <c r="F26">
        <f>C26</f>
        <v>0.01</v>
      </c>
      <c r="J26">
        <f>C26</f>
        <v>0.01</v>
      </c>
    </row>
    <row r="28" spans="1:16" x14ac:dyDescent="0.25">
      <c r="A28" t="s">
        <v>111</v>
      </c>
      <c r="C28">
        <v>0.68</v>
      </c>
      <c r="D28">
        <f>1-C28</f>
        <v>0.31999999999999995</v>
      </c>
      <c r="F28">
        <v>0.75</v>
      </c>
      <c r="G28">
        <f>1-F28</f>
        <v>0.25</v>
      </c>
      <c r="J28">
        <v>0.95</v>
      </c>
      <c r="K28">
        <f>1-J28</f>
        <v>5.0000000000000044E-2</v>
      </c>
    </row>
    <row r="29" spans="1:16" x14ac:dyDescent="0.25">
      <c r="A29" t="s">
        <v>110</v>
      </c>
      <c r="C29">
        <v>1.3</v>
      </c>
      <c r="D29">
        <v>0.7</v>
      </c>
      <c r="F29">
        <v>1.3</v>
      </c>
      <c r="G29">
        <v>0.7</v>
      </c>
      <c r="J29">
        <v>1.4</v>
      </c>
      <c r="K29">
        <v>0.7</v>
      </c>
    </row>
    <row r="30" spans="1:16" x14ac:dyDescent="0.25">
      <c r="A30" t="s">
        <v>112</v>
      </c>
      <c r="C30">
        <f>C28*C29+D28*D29</f>
        <v>1.1080000000000001</v>
      </c>
      <c r="F30">
        <f>F28*F29+G28*G29</f>
        <v>1.1500000000000001</v>
      </c>
      <c r="J30">
        <f>J28*J29+K28*K29</f>
        <v>1.3649999999999998</v>
      </c>
    </row>
    <row r="31" spans="1:16" x14ac:dyDescent="0.25">
      <c r="A31" t="s">
        <v>130</v>
      </c>
      <c r="C31">
        <v>0.7</v>
      </c>
      <c r="F31">
        <f>1-C31</f>
        <v>0.30000000000000004</v>
      </c>
      <c r="H31" t="s">
        <v>131</v>
      </c>
      <c r="J31">
        <f>1-G31</f>
        <v>1</v>
      </c>
    </row>
    <row r="33" spans="1:10" x14ac:dyDescent="0.25">
      <c r="A33" t="s">
        <v>113</v>
      </c>
      <c r="C33" s="1">
        <v>0.6</v>
      </c>
      <c r="F33" s="1">
        <v>0.6</v>
      </c>
      <c r="J33" s="1">
        <v>0.6</v>
      </c>
    </row>
    <row r="34" spans="1:10" x14ac:dyDescent="0.25">
      <c r="A34" t="s">
        <v>117</v>
      </c>
      <c r="C34" s="1">
        <v>0.02</v>
      </c>
      <c r="F34" s="1">
        <v>0.02</v>
      </c>
      <c r="J34" s="1">
        <v>0.02</v>
      </c>
    </row>
    <row r="35" spans="1:10" x14ac:dyDescent="0.25">
      <c r="A35" t="s">
        <v>116</v>
      </c>
      <c r="C35" s="4">
        <f>C25*(1+C26+C34)</f>
        <v>0.82400000000000007</v>
      </c>
      <c r="F35" s="6">
        <f>F25*(1+F26+F34)</f>
        <v>0.82400000000000007</v>
      </c>
      <c r="H35">
        <f>(F25*(1+H37)*C28+D29*C33*D28)*C31+(F25*(1+H37)*F28+G29*F33*G28)*F31</f>
        <v>0.82399999999999896</v>
      </c>
      <c r="J35" s="6">
        <f>J25*(1+J26+J34)</f>
        <v>0.82400000000000007</v>
      </c>
    </row>
    <row r="36" spans="1:10" x14ac:dyDescent="0.25">
      <c r="C36" s="4"/>
      <c r="F36" s="4"/>
      <c r="J36" s="4"/>
    </row>
    <row r="37" spans="1:10" x14ac:dyDescent="0.25">
      <c r="A37" t="s">
        <v>114</v>
      </c>
      <c r="C37" s="1">
        <f>(C35-D29*C33*D28)/(C25*C28)-1</f>
        <v>0.26764705882352957</v>
      </c>
      <c r="F37" s="1">
        <f>(F35-G29*F33*G28)/(F25*F28)-1</f>
        <v>0.19833333333333325</v>
      </c>
      <c r="H37">
        <v>0.24539942938658896</v>
      </c>
      <c r="J37" s="1">
        <f>(J35-K29*J33*K28)/(J25*J28)-1</f>
        <v>5.6578947368421062E-2</v>
      </c>
    </row>
    <row r="39" spans="1:10" x14ac:dyDescent="0.25">
      <c r="A39" t="s">
        <v>127</v>
      </c>
      <c r="C39">
        <f>(C29-C25*(1+H37))*C28-C24*(1+C26)</f>
        <v>4.5027104136956819E-3</v>
      </c>
      <c r="F39">
        <f>(F29-F25*(1+H37))*F28-F24*(1+F26)</f>
        <v>2.5760342368046696E-2</v>
      </c>
      <c r="J39">
        <f>(J29-J25*(1+J37))*J28-J24*(1+J26)</f>
        <v>0.32499999999999979</v>
      </c>
    </row>
    <row r="42" spans="1:10" x14ac:dyDescent="0.25">
      <c r="A42" t="s">
        <v>125</v>
      </c>
      <c r="C42">
        <v>1</v>
      </c>
      <c r="D42" t="s">
        <v>79</v>
      </c>
      <c r="F42">
        <v>1</v>
      </c>
      <c r="G42" t="s">
        <v>79</v>
      </c>
    </row>
    <row r="43" spans="1:10" x14ac:dyDescent="0.25">
      <c r="A43" t="s">
        <v>126</v>
      </c>
      <c r="C43">
        <v>0.3</v>
      </c>
      <c r="F43">
        <f>C43</f>
        <v>0.3</v>
      </c>
    </row>
    <row r="44" spans="1:10" x14ac:dyDescent="0.25">
      <c r="A44" t="s">
        <v>109</v>
      </c>
      <c r="C44">
        <f>C42-C43</f>
        <v>0.7</v>
      </c>
      <c r="F44">
        <f>C44</f>
        <v>0.7</v>
      </c>
    </row>
    <row r="45" spans="1:10" x14ac:dyDescent="0.25">
      <c r="A45" t="s">
        <v>128</v>
      </c>
      <c r="C45">
        <v>0.06</v>
      </c>
      <c r="F45">
        <f>C45</f>
        <v>0.06</v>
      </c>
    </row>
    <row r="47" spans="1:10" x14ac:dyDescent="0.25">
      <c r="A47" t="s">
        <v>111</v>
      </c>
      <c r="C47">
        <v>0.65</v>
      </c>
      <c r="D47">
        <f>1-C47</f>
        <v>0.35</v>
      </c>
      <c r="F47">
        <v>0.75</v>
      </c>
      <c r="G47">
        <f>1-F47</f>
        <v>0.25</v>
      </c>
    </row>
    <row r="48" spans="1:10" x14ac:dyDescent="0.25">
      <c r="A48" t="s">
        <v>110</v>
      </c>
      <c r="C48">
        <v>1.3</v>
      </c>
      <c r="D48">
        <v>0.7</v>
      </c>
      <c r="F48">
        <v>1.3</v>
      </c>
      <c r="G48">
        <v>0.7</v>
      </c>
    </row>
    <row r="49" spans="1:8" x14ac:dyDescent="0.25">
      <c r="A49" t="s">
        <v>112</v>
      </c>
      <c r="C49">
        <f>C47*C48+D47*D48</f>
        <v>1.0900000000000001</v>
      </c>
      <c r="F49">
        <f>F47*F48+G47*G48</f>
        <v>1.1500000000000001</v>
      </c>
    </row>
    <row r="50" spans="1:8" x14ac:dyDescent="0.25">
      <c r="A50" t="s">
        <v>130</v>
      </c>
      <c r="C50">
        <v>0.7</v>
      </c>
      <c r="F50">
        <f>1-C50</f>
        <v>0.30000000000000004</v>
      </c>
      <c r="H50" t="s">
        <v>131</v>
      </c>
    </row>
    <row r="52" spans="1:8" x14ac:dyDescent="0.25">
      <c r="A52" t="s">
        <v>113</v>
      </c>
      <c r="C52" s="1">
        <v>0.6</v>
      </c>
      <c r="F52" s="1">
        <v>0.6</v>
      </c>
    </row>
    <row r="53" spans="1:8" x14ac:dyDescent="0.25">
      <c r="A53" t="s">
        <v>117</v>
      </c>
      <c r="C53" s="1">
        <v>0.02</v>
      </c>
      <c r="F53" s="1">
        <v>0.02</v>
      </c>
    </row>
    <row r="54" spans="1:8" x14ac:dyDescent="0.25">
      <c r="A54" t="s">
        <v>116</v>
      </c>
      <c r="C54" s="4">
        <f>C44*(1+C45+C53)</f>
        <v>0.75600000000000001</v>
      </c>
      <c r="F54" s="6">
        <f>F44*(1+F45+F53)</f>
        <v>0.75600000000000001</v>
      </c>
      <c r="H54">
        <f>(F44*(1+H56)*C47+D48*C52*D47)*C50+(F44*(1+H56)*F47+G48*F52*G47)*F50</f>
        <v>0.75599999999999967</v>
      </c>
    </row>
    <row r="55" spans="1:8" x14ac:dyDescent="0.25">
      <c r="C55" s="4"/>
      <c r="F55" s="4"/>
    </row>
    <row r="56" spans="1:8" x14ac:dyDescent="0.25">
      <c r="A56" t="s">
        <v>114</v>
      </c>
      <c r="C56" s="1">
        <f>(C54-D48*C52*D47)/(C44*C47)-1</f>
        <v>0.33846153846153859</v>
      </c>
      <c r="F56" s="1">
        <f>(F54-G48*F52*G47)/(F44*F47)-1</f>
        <v>0.24000000000000021</v>
      </c>
      <c r="H56">
        <v>0.30588235294117588</v>
      </c>
    </row>
    <row r="58" spans="1:8" x14ac:dyDescent="0.25">
      <c r="A58" t="s">
        <v>127</v>
      </c>
      <c r="C58">
        <f>(C48-C44*(1+H56))*C47-C43*(1+C45)</f>
        <v>-6.7176470588234949E-2</v>
      </c>
      <c r="F58">
        <f>(F48-F44*(1+H56))*F47-F43*(1+F45)</f>
        <v>-2.8588235294117248E-2</v>
      </c>
    </row>
    <row r="63" spans="1:8" x14ac:dyDescent="0.25">
      <c r="A63" t="s">
        <v>54</v>
      </c>
      <c r="B63" s="3">
        <v>500000</v>
      </c>
    </row>
    <row r="64" spans="1:8" x14ac:dyDescent="0.25">
      <c r="A64" t="s">
        <v>55</v>
      </c>
      <c r="B64" s="1">
        <v>0.03</v>
      </c>
      <c r="C64" t="s">
        <v>56</v>
      </c>
    </row>
    <row r="65" spans="1:3" x14ac:dyDescent="0.25">
      <c r="A65" t="s">
        <v>57</v>
      </c>
      <c r="B65">
        <f>B64/12</f>
        <v>2.5000000000000001E-3</v>
      </c>
    </row>
    <row r="66" spans="1:3" x14ac:dyDescent="0.25">
      <c r="A66" t="s">
        <v>58</v>
      </c>
      <c r="B66">
        <f>B63*B65</f>
        <v>1250</v>
      </c>
    </row>
    <row r="67" spans="1:3" x14ac:dyDescent="0.25">
      <c r="A67" t="s">
        <v>59</v>
      </c>
      <c r="B67">
        <v>20</v>
      </c>
      <c r="C67" t="s">
        <v>5</v>
      </c>
    </row>
    <row r="68" spans="1:3" x14ac:dyDescent="0.25">
      <c r="A68" t="s">
        <v>6</v>
      </c>
      <c r="B68">
        <f>B67*12</f>
        <v>240</v>
      </c>
    </row>
    <row r="69" spans="1:3" x14ac:dyDescent="0.25">
      <c r="A69" t="s">
        <v>60</v>
      </c>
      <c r="B69">
        <f>B63/((1-1/(1+B65)^B68)/B65)</f>
        <v>2772.9879892695953</v>
      </c>
    </row>
    <row r="70" spans="1:3" x14ac:dyDescent="0.25">
      <c r="A70" t="s">
        <v>61</v>
      </c>
      <c r="B70" s="1">
        <v>0.15</v>
      </c>
    </row>
    <row r="71" spans="1:3" x14ac:dyDescent="0.25">
      <c r="A71" t="s">
        <v>62</v>
      </c>
      <c r="B71">
        <f>B63*B70</f>
        <v>75000</v>
      </c>
    </row>
    <row r="72" spans="1:3" x14ac:dyDescent="0.25">
      <c r="A72" t="s">
        <v>63</v>
      </c>
      <c r="B72">
        <f>B66*12</f>
        <v>15000</v>
      </c>
    </row>
    <row r="73" spans="1:3" x14ac:dyDescent="0.25">
      <c r="A73" t="s">
        <v>64</v>
      </c>
      <c r="B73" s="4">
        <f>B71/B72-1</f>
        <v>4</v>
      </c>
    </row>
  </sheetData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2"/>
  <sheetViews>
    <sheetView workbookViewId="0">
      <selection activeCell="A13" sqref="A13"/>
    </sheetView>
  </sheetViews>
  <sheetFormatPr defaultRowHeight="12.5" x14ac:dyDescent="0.25"/>
  <cols>
    <col min="1" max="1" width="39.81640625" customWidth="1"/>
    <col min="2" max="2" width="14" customWidth="1"/>
  </cols>
  <sheetData>
    <row r="1" spans="1:6" x14ac:dyDescent="0.25">
      <c r="A1" t="s">
        <v>93</v>
      </c>
      <c r="B1">
        <v>100</v>
      </c>
      <c r="C1" t="s">
        <v>79</v>
      </c>
      <c r="E1">
        <v>100</v>
      </c>
      <c r="F1" t="s">
        <v>79</v>
      </c>
    </row>
    <row r="3" spans="1:6" x14ac:dyDescent="0.25">
      <c r="A3" t="s">
        <v>94</v>
      </c>
      <c r="B3">
        <v>1000</v>
      </c>
      <c r="E3">
        <v>1000</v>
      </c>
    </row>
    <row r="4" spans="1:6" x14ac:dyDescent="0.25">
      <c r="A4" t="s">
        <v>88</v>
      </c>
      <c r="B4">
        <v>0.8</v>
      </c>
      <c r="E4">
        <v>0.8</v>
      </c>
    </row>
    <row r="5" spans="1:6" x14ac:dyDescent="0.25">
      <c r="A5" t="s">
        <v>89</v>
      </c>
      <c r="B5">
        <v>0.125</v>
      </c>
      <c r="E5">
        <v>0.1</v>
      </c>
    </row>
    <row r="6" spans="1:6" x14ac:dyDescent="0.25">
      <c r="A6" t="s">
        <v>90</v>
      </c>
      <c r="B6">
        <f>1-B4</f>
        <v>0.19999999999999996</v>
      </c>
      <c r="E6">
        <f>1-E4</f>
        <v>0.19999999999999996</v>
      </c>
    </row>
    <row r="7" spans="1:6" x14ac:dyDescent="0.25">
      <c r="A7" t="s">
        <v>91</v>
      </c>
      <c r="B7">
        <v>-0.4</v>
      </c>
      <c r="E7">
        <v>-0.31</v>
      </c>
    </row>
    <row r="8" spans="1:6" x14ac:dyDescent="0.25">
      <c r="A8" t="s">
        <v>92</v>
      </c>
      <c r="B8">
        <f>B4*B5+B6*B7</f>
        <v>2.0000000000000018E-2</v>
      </c>
      <c r="E8">
        <f>E4*E5+E6*E7</f>
        <v>1.800000000000003E-2</v>
      </c>
    </row>
    <row r="9" spans="1:6" x14ac:dyDescent="0.25">
      <c r="A9" t="s">
        <v>95</v>
      </c>
      <c r="B9">
        <f>B3*B7</f>
        <v>-400</v>
      </c>
      <c r="E9">
        <f>E3*E7</f>
        <v>-310</v>
      </c>
    </row>
    <row r="10" spans="1:6" x14ac:dyDescent="0.25">
      <c r="A10" t="s">
        <v>103</v>
      </c>
      <c r="B10">
        <f>B3/ABS(B9)*B1</f>
        <v>250</v>
      </c>
      <c r="E10">
        <f>E3/ABS(E9)*E1</f>
        <v>322.58064516129031</v>
      </c>
    </row>
    <row r="11" spans="1:6" x14ac:dyDescent="0.25">
      <c r="A11" t="s">
        <v>104</v>
      </c>
      <c r="B11">
        <f>B8*B10/B1</f>
        <v>5.0000000000000044E-2</v>
      </c>
      <c r="E11">
        <f>E8*E10/E1</f>
        <v>5.8064516129032351E-2</v>
      </c>
    </row>
    <row r="12" spans="1:6" x14ac:dyDescent="0.25">
      <c r="A12" t="s">
        <v>108</v>
      </c>
      <c r="B12">
        <f>B10*B7</f>
        <v>-100</v>
      </c>
      <c r="E12">
        <f>E10*E7</f>
        <v>-100</v>
      </c>
    </row>
    <row r="14" spans="1:6" x14ac:dyDescent="0.25">
      <c r="A14" t="s">
        <v>96</v>
      </c>
    </row>
    <row r="15" spans="1:6" x14ac:dyDescent="0.25">
      <c r="A15" t="s">
        <v>97</v>
      </c>
    </row>
    <row r="16" spans="1:6" x14ac:dyDescent="0.25">
      <c r="A16" t="s">
        <v>102</v>
      </c>
      <c r="B16">
        <f>1000</f>
        <v>1000</v>
      </c>
      <c r="E16">
        <f>1000</f>
        <v>1000</v>
      </c>
    </row>
    <row r="17" spans="1:5" x14ac:dyDescent="0.25">
      <c r="A17" t="s">
        <v>98</v>
      </c>
      <c r="B17">
        <f>B4^2</f>
        <v>0.64000000000000012</v>
      </c>
      <c r="E17">
        <f>E4^2</f>
        <v>0.64000000000000012</v>
      </c>
    </row>
    <row r="18" spans="1:5" x14ac:dyDescent="0.25">
      <c r="A18" t="s">
        <v>99</v>
      </c>
      <c r="B18">
        <f>B5</f>
        <v>0.125</v>
      </c>
      <c r="E18">
        <f>E5</f>
        <v>0.1</v>
      </c>
    </row>
    <row r="19" spans="1:5" x14ac:dyDescent="0.25">
      <c r="A19" t="s">
        <v>100</v>
      </c>
      <c r="B19">
        <f>2*B4*B6</f>
        <v>0.31999999999999995</v>
      </c>
      <c r="E19">
        <f>2*E4*E6</f>
        <v>0.31999999999999995</v>
      </c>
    </row>
    <row r="20" spans="1:5" x14ac:dyDescent="0.25">
      <c r="A20" t="s">
        <v>99</v>
      </c>
      <c r="B20">
        <f>(B5+B7)/2</f>
        <v>-0.13750000000000001</v>
      </c>
      <c r="E20">
        <f>(E5+E7)/2</f>
        <v>-0.105</v>
      </c>
    </row>
    <row r="21" spans="1:5" x14ac:dyDescent="0.25">
      <c r="A21" t="s">
        <v>101</v>
      </c>
      <c r="B21">
        <f>B6^2</f>
        <v>3.999999999999998E-2</v>
      </c>
      <c r="E21">
        <f>E6^2</f>
        <v>3.999999999999998E-2</v>
      </c>
    </row>
    <row r="22" spans="1:5" x14ac:dyDescent="0.25">
      <c r="A22" t="s">
        <v>99</v>
      </c>
      <c r="B22">
        <f>B7</f>
        <v>-0.4</v>
      </c>
      <c r="E22">
        <f>E7</f>
        <v>-0.31</v>
      </c>
    </row>
    <row r="23" spans="1:5" x14ac:dyDescent="0.25">
      <c r="A23" t="s">
        <v>95</v>
      </c>
      <c r="B23">
        <f xml:space="preserve"> B16*B20</f>
        <v>-137.5</v>
      </c>
      <c r="E23">
        <f xml:space="preserve"> E16*E20</f>
        <v>-105</v>
      </c>
    </row>
    <row r="24" spans="1:5" x14ac:dyDescent="0.25">
      <c r="A24" t="s">
        <v>105</v>
      </c>
      <c r="B24">
        <f>B16/ABS(B23)*B1</f>
        <v>727.27272727272725</v>
      </c>
      <c r="E24">
        <f>E16/ABS(E23)*E1</f>
        <v>952.38095238095241</v>
      </c>
    </row>
    <row r="25" spans="1:5" x14ac:dyDescent="0.25">
      <c r="A25" t="s">
        <v>104</v>
      </c>
      <c r="B25">
        <f>B8*B24/B1</f>
        <v>0.14545454545454559</v>
      </c>
      <c r="E25">
        <f>E8*E24/E1</f>
        <v>0.17142857142857171</v>
      </c>
    </row>
    <row r="26" spans="1:5" x14ac:dyDescent="0.25">
      <c r="A26" t="s">
        <v>108</v>
      </c>
      <c r="B26">
        <f>B24*B22</f>
        <v>-290.90909090909093</v>
      </c>
      <c r="E26">
        <f>E24*E22</f>
        <v>-295.23809523809524</v>
      </c>
    </row>
    <row r="28" spans="1:5" x14ac:dyDescent="0.25">
      <c r="A28" t="s">
        <v>96</v>
      </c>
    </row>
    <row r="29" spans="1:5" x14ac:dyDescent="0.25">
      <c r="A29" t="s">
        <v>97</v>
      </c>
    </row>
    <row r="30" spans="1:5" x14ac:dyDescent="0.25">
      <c r="A30" t="s">
        <v>106</v>
      </c>
      <c r="B30">
        <v>0.5</v>
      </c>
      <c r="E30">
        <v>0.5</v>
      </c>
    </row>
    <row r="31" spans="1:5" x14ac:dyDescent="0.25">
      <c r="A31" t="s">
        <v>107</v>
      </c>
    </row>
    <row r="35" spans="1:5" x14ac:dyDescent="0.25">
      <c r="A35" t="s">
        <v>100</v>
      </c>
    </row>
    <row r="36" spans="1:5" x14ac:dyDescent="0.25">
      <c r="A36" t="s">
        <v>99</v>
      </c>
      <c r="B36">
        <f>B20+B18*B17/B19*B30</f>
        <v>-1.2499999999999956E-2</v>
      </c>
      <c r="E36">
        <f>E20+E18*E17/E19*E30</f>
        <v>-4.9999999999999628E-3</v>
      </c>
    </row>
    <row r="39" spans="1:5" x14ac:dyDescent="0.25">
      <c r="A39" t="s">
        <v>95</v>
      </c>
      <c r="B39">
        <f>B16*B36</f>
        <v>-12.499999999999956</v>
      </c>
      <c r="E39">
        <f>E16*E36</f>
        <v>-4.9999999999999627</v>
      </c>
    </row>
    <row r="40" spans="1:5" x14ac:dyDescent="0.25">
      <c r="A40" t="s">
        <v>105</v>
      </c>
      <c r="B40">
        <f>B16/ABS(B39)*B1</f>
        <v>8000.0000000000282</v>
      </c>
      <c r="E40">
        <f>E16/ABS(E39)*E1</f>
        <v>20000.000000000149</v>
      </c>
    </row>
    <row r="41" spans="1:5" x14ac:dyDescent="0.25">
      <c r="A41" t="s">
        <v>104</v>
      </c>
      <c r="B41">
        <f>B8*B40/B1</f>
        <v>1.6000000000000072</v>
      </c>
      <c r="E41">
        <f>E8*E40/E1</f>
        <v>3.600000000000033</v>
      </c>
    </row>
    <row r="42" spans="1:5" x14ac:dyDescent="0.25">
      <c r="A42" t="s">
        <v>108</v>
      </c>
      <c r="B42">
        <f>B40*B22</f>
        <v>-3200.0000000000114</v>
      </c>
      <c r="E42">
        <f>E40*E22</f>
        <v>-6200.0000000000464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9"/>
  <sheetViews>
    <sheetView workbookViewId="0">
      <selection activeCell="E16" sqref="E16"/>
    </sheetView>
  </sheetViews>
  <sheetFormatPr defaultRowHeight="12.5" x14ac:dyDescent="0.25"/>
  <cols>
    <col min="1" max="1" width="17" customWidth="1"/>
    <col min="2" max="2" width="10.54296875" customWidth="1"/>
  </cols>
  <sheetData>
    <row r="1" spans="1:1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</row>
    <row r="2" spans="1:12" x14ac:dyDescent="0.25">
      <c r="A2" t="s">
        <v>36</v>
      </c>
      <c r="B2">
        <v>-10</v>
      </c>
      <c r="C2">
        <v>3</v>
      </c>
      <c r="D2">
        <v>3</v>
      </c>
      <c r="E2">
        <v>3</v>
      </c>
      <c r="F2">
        <v>3</v>
      </c>
      <c r="G2">
        <v>3</v>
      </c>
    </row>
    <row r="3" spans="1:12" x14ac:dyDescent="0.25">
      <c r="A3" t="s">
        <v>37</v>
      </c>
      <c r="B3" s="1">
        <v>0.05</v>
      </c>
    </row>
    <row r="4" spans="1:12" x14ac:dyDescent="0.25">
      <c r="A4" t="s">
        <v>39</v>
      </c>
      <c r="B4">
        <f t="shared" ref="B4:G4" si="0">B2/(1+$B3)^B$1</f>
        <v>-10</v>
      </c>
      <c r="C4">
        <f t="shared" si="0"/>
        <v>2.8571428571428572</v>
      </c>
      <c r="D4">
        <f t="shared" si="0"/>
        <v>2.7210884353741496</v>
      </c>
      <c r="E4">
        <f t="shared" si="0"/>
        <v>2.5915127955944279</v>
      </c>
      <c r="F4">
        <f t="shared" si="0"/>
        <v>2.468107424375646</v>
      </c>
      <c r="G4">
        <f t="shared" si="0"/>
        <v>2.3505784994053767</v>
      </c>
    </row>
    <row r="5" spans="1:12" x14ac:dyDescent="0.25">
      <c r="A5" t="s">
        <v>38</v>
      </c>
      <c r="B5">
        <f>SUM(B4:L4)</f>
        <v>2.9884300118924574</v>
      </c>
    </row>
    <row r="7" spans="1:12" x14ac:dyDescent="0.25">
      <c r="A7" t="s">
        <v>40</v>
      </c>
      <c r="B7" s="1">
        <v>0</v>
      </c>
    </row>
    <row r="8" spans="1:12" x14ac:dyDescent="0.25">
      <c r="A8" t="s">
        <v>36</v>
      </c>
      <c r="B8">
        <v>-20</v>
      </c>
      <c r="C8">
        <v>5</v>
      </c>
      <c r="D8">
        <f>C8*(1+$B7)</f>
        <v>5</v>
      </c>
      <c r="E8">
        <f>D8*(1+$B7)</f>
        <v>5</v>
      </c>
      <c r="F8">
        <f>E8*(1+$B7)</f>
        <v>5</v>
      </c>
      <c r="G8">
        <f>F8*(1+$B7)</f>
        <v>5</v>
      </c>
    </row>
    <row r="9" spans="1:12" x14ac:dyDescent="0.25">
      <c r="A9" t="s">
        <v>37</v>
      </c>
      <c r="B9" s="1">
        <v>0.05</v>
      </c>
    </row>
    <row r="10" spans="1:12" x14ac:dyDescent="0.25">
      <c r="A10" t="s">
        <v>39</v>
      </c>
      <c r="B10">
        <f t="shared" ref="B10:G10" si="1">B8/(1+$B9)^B$1</f>
        <v>-20</v>
      </c>
      <c r="C10">
        <f t="shared" si="1"/>
        <v>4.7619047619047619</v>
      </c>
      <c r="D10">
        <f t="shared" si="1"/>
        <v>4.5351473922902494</v>
      </c>
      <c r="E10">
        <f t="shared" si="1"/>
        <v>4.3191879926573797</v>
      </c>
      <c r="F10">
        <f t="shared" si="1"/>
        <v>4.1135123739594102</v>
      </c>
      <c r="G10">
        <f t="shared" si="1"/>
        <v>3.9176308323422946</v>
      </c>
    </row>
    <row r="11" spans="1:12" x14ac:dyDescent="0.25">
      <c r="A11" t="s">
        <v>38</v>
      </c>
      <c r="B11">
        <f>SUM(B10:L10)</f>
        <v>1.6473833531540958</v>
      </c>
    </row>
    <row r="13" spans="1:12" x14ac:dyDescent="0.25">
      <c r="B13">
        <v>0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</row>
    <row r="14" spans="1:12" x14ac:dyDescent="0.25">
      <c r="A14" t="s">
        <v>36</v>
      </c>
      <c r="B14">
        <v>-10</v>
      </c>
      <c r="C14">
        <v>3</v>
      </c>
      <c r="D14">
        <v>3</v>
      </c>
      <c r="E14">
        <v>3</v>
      </c>
      <c r="F14">
        <v>3</v>
      </c>
      <c r="G14">
        <v>3</v>
      </c>
      <c r="H14">
        <v>3</v>
      </c>
      <c r="I14">
        <v>3</v>
      </c>
      <c r="J14">
        <v>3</v>
      </c>
      <c r="K14">
        <v>3</v>
      </c>
      <c r="L14">
        <v>3</v>
      </c>
    </row>
    <row r="15" spans="1:12" x14ac:dyDescent="0.25">
      <c r="A15" t="s">
        <v>37</v>
      </c>
      <c r="B15" s="1">
        <v>0.05</v>
      </c>
    </row>
    <row r="16" spans="1:12" x14ac:dyDescent="0.25">
      <c r="A16" t="s">
        <v>39</v>
      </c>
      <c r="B16">
        <f t="shared" ref="B16:L16" si="2">B14/(1+$B15)^B$1</f>
        <v>-10</v>
      </c>
      <c r="C16">
        <f t="shared" si="2"/>
        <v>2.8571428571428572</v>
      </c>
      <c r="D16">
        <f t="shared" si="2"/>
        <v>2.7210884353741496</v>
      </c>
      <c r="E16">
        <f t="shared" si="2"/>
        <v>2.5915127955944279</v>
      </c>
      <c r="F16">
        <f t="shared" si="2"/>
        <v>2.468107424375646</v>
      </c>
      <c r="G16">
        <f t="shared" si="2"/>
        <v>2.3505784994053767</v>
      </c>
      <c r="H16">
        <f t="shared" si="2"/>
        <v>3</v>
      </c>
      <c r="I16">
        <f t="shared" si="2"/>
        <v>3</v>
      </c>
      <c r="J16">
        <f t="shared" si="2"/>
        <v>3</v>
      </c>
      <c r="K16">
        <f t="shared" si="2"/>
        <v>3</v>
      </c>
      <c r="L16">
        <f t="shared" si="2"/>
        <v>3</v>
      </c>
    </row>
    <row r="17" spans="1:12" x14ac:dyDescent="0.25">
      <c r="A17" t="s">
        <v>38</v>
      </c>
      <c r="B17">
        <f>SUM(B16:L16)</f>
        <v>17.988430011892458</v>
      </c>
    </row>
    <row r="19" spans="1:12" x14ac:dyDescent="0.25">
      <c r="A19" t="s">
        <v>40</v>
      </c>
      <c r="B19" s="1">
        <v>0</v>
      </c>
    </row>
    <row r="20" spans="1:12" x14ac:dyDescent="0.25">
      <c r="A20" t="s">
        <v>36</v>
      </c>
      <c r="B20">
        <v>-20</v>
      </c>
      <c r="C20">
        <v>5</v>
      </c>
      <c r="D20">
        <f t="shared" ref="D20:L20" si="3">C20*(1+$B19)</f>
        <v>5</v>
      </c>
      <c r="E20">
        <f t="shared" si="3"/>
        <v>5</v>
      </c>
      <c r="F20">
        <f t="shared" si="3"/>
        <v>5</v>
      </c>
      <c r="G20">
        <f t="shared" si="3"/>
        <v>5</v>
      </c>
      <c r="H20">
        <f t="shared" si="3"/>
        <v>5</v>
      </c>
      <c r="I20">
        <f t="shared" si="3"/>
        <v>5</v>
      </c>
      <c r="J20">
        <f t="shared" si="3"/>
        <v>5</v>
      </c>
      <c r="K20">
        <f t="shared" si="3"/>
        <v>5</v>
      </c>
      <c r="L20">
        <f t="shared" si="3"/>
        <v>5</v>
      </c>
    </row>
    <row r="21" spans="1:12" x14ac:dyDescent="0.25">
      <c r="A21" t="s">
        <v>37</v>
      </c>
      <c r="B21" s="1">
        <v>0.05</v>
      </c>
    </row>
    <row r="22" spans="1:12" x14ac:dyDescent="0.25">
      <c r="A22" t="s">
        <v>39</v>
      </c>
      <c r="B22">
        <f t="shared" ref="B22:L22" si="4">B20/(1+$B21)^B$1</f>
        <v>-20</v>
      </c>
      <c r="C22">
        <f t="shared" si="4"/>
        <v>4.7619047619047619</v>
      </c>
      <c r="D22">
        <f t="shared" si="4"/>
        <v>4.5351473922902494</v>
      </c>
      <c r="E22">
        <f t="shared" si="4"/>
        <v>4.3191879926573797</v>
      </c>
      <c r="F22">
        <f t="shared" si="4"/>
        <v>4.1135123739594102</v>
      </c>
      <c r="G22">
        <f t="shared" si="4"/>
        <v>3.9176308323422946</v>
      </c>
      <c r="H22">
        <f t="shared" si="4"/>
        <v>5</v>
      </c>
      <c r="I22">
        <f t="shared" si="4"/>
        <v>5</v>
      </c>
      <c r="J22">
        <f t="shared" si="4"/>
        <v>5</v>
      </c>
      <c r="K22">
        <f t="shared" si="4"/>
        <v>5</v>
      </c>
      <c r="L22">
        <f t="shared" si="4"/>
        <v>5</v>
      </c>
    </row>
    <row r="23" spans="1:12" x14ac:dyDescent="0.25">
      <c r="A23" t="s">
        <v>38</v>
      </c>
      <c r="B23">
        <f>SUM(B22:L22)</f>
        <v>26.647383353154098</v>
      </c>
    </row>
    <row r="27" spans="1:12" x14ac:dyDescent="0.25">
      <c r="B27">
        <v>0</v>
      </c>
      <c r="C27">
        <v>1</v>
      </c>
      <c r="D27">
        <v>2</v>
      </c>
      <c r="E27">
        <v>3</v>
      </c>
      <c r="F27">
        <v>4</v>
      </c>
      <c r="G27">
        <v>5</v>
      </c>
      <c r="H27">
        <v>6</v>
      </c>
      <c r="I27">
        <v>7</v>
      </c>
      <c r="J27">
        <v>8</v>
      </c>
      <c r="K27">
        <v>9</v>
      </c>
      <c r="L27">
        <v>10</v>
      </c>
    </row>
    <row r="28" spans="1:12" x14ac:dyDescent="0.25">
      <c r="A28" t="s">
        <v>36</v>
      </c>
      <c r="B28">
        <v>-10</v>
      </c>
      <c r="C28">
        <v>2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</row>
    <row r="29" spans="1:12" x14ac:dyDescent="0.25">
      <c r="A29" t="s">
        <v>37</v>
      </c>
      <c r="B29" s="1">
        <v>0.12</v>
      </c>
    </row>
    <row r="30" spans="1:12" x14ac:dyDescent="0.25">
      <c r="A30" t="s">
        <v>39</v>
      </c>
      <c r="B30">
        <f>B28/(1+$B29)^B$74</f>
        <v>-10</v>
      </c>
      <c r="C30">
        <f>C28/(1+$B29)^C$27</f>
        <v>1.7857142857142856</v>
      </c>
      <c r="D30">
        <f t="shared" ref="D30:L30" si="5">D28/(1+$B29)^D$27</f>
        <v>1.5943877551020407</v>
      </c>
      <c r="E30">
        <f t="shared" si="5"/>
        <v>1.4235604956268217</v>
      </c>
      <c r="F30">
        <f t="shared" si="5"/>
        <v>1.2710361568096624</v>
      </c>
      <c r="G30">
        <f t="shared" si="5"/>
        <v>1.1348537114371984</v>
      </c>
      <c r="H30">
        <f t="shared" si="5"/>
        <v>1.0132622423546414</v>
      </c>
      <c r="I30">
        <f t="shared" si="5"/>
        <v>0.90469843067378686</v>
      </c>
      <c r="J30">
        <f t="shared" si="5"/>
        <v>0.80776645595873819</v>
      </c>
      <c r="K30">
        <f t="shared" si="5"/>
        <v>0.72122004996315914</v>
      </c>
      <c r="L30">
        <f t="shared" si="5"/>
        <v>0.64394647318139198</v>
      </c>
    </row>
    <row r="31" spans="1:12" x14ac:dyDescent="0.25">
      <c r="A31" t="s">
        <v>38</v>
      </c>
      <c r="B31">
        <f>SUM(B30:L30)</f>
        <v>1.3004460568217255</v>
      </c>
    </row>
    <row r="33" spans="1:12" x14ac:dyDescent="0.25">
      <c r="A33" t="s">
        <v>40</v>
      </c>
      <c r="B33" s="1">
        <v>0</v>
      </c>
    </row>
    <row r="34" spans="1:12" x14ac:dyDescent="0.25">
      <c r="A34" t="s">
        <v>36</v>
      </c>
      <c r="B34">
        <v>-20</v>
      </c>
      <c r="C34">
        <v>3.5</v>
      </c>
      <c r="D34">
        <f>C34*(1+$B33)</f>
        <v>3.5</v>
      </c>
      <c r="E34">
        <f t="shared" ref="E34:L34" si="6">D34*(1+$B33)</f>
        <v>3.5</v>
      </c>
      <c r="F34">
        <f t="shared" si="6"/>
        <v>3.5</v>
      </c>
      <c r="G34">
        <f t="shared" si="6"/>
        <v>3.5</v>
      </c>
      <c r="H34">
        <f t="shared" si="6"/>
        <v>3.5</v>
      </c>
      <c r="I34">
        <f t="shared" si="6"/>
        <v>3.5</v>
      </c>
      <c r="J34">
        <f t="shared" si="6"/>
        <v>3.5</v>
      </c>
      <c r="K34">
        <f t="shared" si="6"/>
        <v>3.5</v>
      </c>
      <c r="L34">
        <f t="shared" si="6"/>
        <v>3.5</v>
      </c>
    </row>
    <row r="35" spans="1:12" x14ac:dyDescent="0.25">
      <c r="A35" t="s">
        <v>37</v>
      </c>
      <c r="B35" s="1">
        <v>0.12</v>
      </c>
    </row>
    <row r="36" spans="1:12" x14ac:dyDescent="0.25">
      <c r="A36" t="s">
        <v>39</v>
      </c>
      <c r="B36">
        <f>B34/(1+$B35)^B$74</f>
        <v>-20</v>
      </c>
      <c r="C36">
        <f>C34/(1+$B35)^C$27</f>
        <v>3.1249999999999996</v>
      </c>
      <c r="D36">
        <f t="shared" ref="D36:L36" si="7">D34/(1+$B35)^D$27</f>
        <v>2.7901785714285712</v>
      </c>
      <c r="E36">
        <f t="shared" si="7"/>
        <v>2.4912308673469381</v>
      </c>
      <c r="F36">
        <f t="shared" si="7"/>
        <v>2.2243132744169092</v>
      </c>
      <c r="G36">
        <f t="shared" si="7"/>
        <v>1.9859939950150973</v>
      </c>
      <c r="H36">
        <f t="shared" si="7"/>
        <v>1.7732089241206224</v>
      </c>
      <c r="I36">
        <f t="shared" si="7"/>
        <v>1.5832222536791272</v>
      </c>
      <c r="J36">
        <f t="shared" si="7"/>
        <v>1.4135912979277918</v>
      </c>
      <c r="K36">
        <f t="shared" si="7"/>
        <v>1.2621350874355284</v>
      </c>
      <c r="L36">
        <f t="shared" si="7"/>
        <v>1.1269063280674361</v>
      </c>
    </row>
    <row r="37" spans="1:12" x14ac:dyDescent="0.25">
      <c r="A37" t="s">
        <v>38</v>
      </c>
      <c r="B37">
        <f>SUM(B36:L36)</f>
        <v>-0.22421940056197864</v>
      </c>
    </row>
    <row r="39" spans="1:12" x14ac:dyDescent="0.25">
      <c r="B39">
        <v>0</v>
      </c>
      <c r="C39">
        <v>1</v>
      </c>
      <c r="D39">
        <v>2</v>
      </c>
      <c r="E39">
        <v>3</v>
      </c>
      <c r="F39">
        <v>4</v>
      </c>
      <c r="G39">
        <v>5</v>
      </c>
      <c r="H39">
        <v>6</v>
      </c>
      <c r="I39">
        <v>7</v>
      </c>
      <c r="J39">
        <v>8</v>
      </c>
      <c r="K39">
        <v>9</v>
      </c>
      <c r="L39">
        <v>10</v>
      </c>
    </row>
    <row r="40" spans="1:12" x14ac:dyDescent="0.25">
      <c r="A40" t="s">
        <v>36</v>
      </c>
      <c r="B40">
        <v>-10</v>
      </c>
      <c r="C40">
        <v>2</v>
      </c>
      <c r="D40">
        <v>2</v>
      </c>
      <c r="E40">
        <v>2</v>
      </c>
      <c r="F40">
        <v>2</v>
      </c>
      <c r="G40">
        <v>2</v>
      </c>
      <c r="H40">
        <v>2</v>
      </c>
      <c r="I40">
        <v>2</v>
      </c>
      <c r="J40">
        <v>2</v>
      </c>
      <c r="K40">
        <v>2</v>
      </c>
      <c r="L40">
        <v>2</v>
      </c>
    </row>
    <row r="41" spans="1:12" x14ac:dyDescent="0.25">
      <c r="A41" t="s">
        <v>37</v>
      </c>
      <c r="B41" s="1">
        <v>0.05</v>
      </c>
    </row>
    <row r="42" spans="1:12" x14ac:dyDescent="0.25">
      <c r="A42" t="s">
        <v>39</v>
      </c>
      <c r="B42">
        <f>B40/(1+$B41)^B$74</f>
        <v>-10</v>
      </c>
      <c r="C42">
        <f t="shared" ref="C42:L42" si="8">C40/(1+$B41)^C$27</f>
        <v>1.9047619047619047</v>
      </c>
      <c r="D42">
        <f t="shared" si="8"/>
        <v>1.8140589569160996</v>
      </c>
      <c r="E42">
        <f t="shared" si="8"/>
        <v>1.727675197062952</v>
      </c>
      <c r="F42">
        <f t="shared" si="8"/>
        <v>1.6454049495837639</v>
      </c>
      <c r="G42">
        <f t="shared" si="8"/>
        <v>1.5670523329369179</v>
      </c>
      <c r="H42">
        <f t="shared" si="8"/>
        <v>1.4924307932732552</v>
      </c>
      <c r="I42">
        <f t="shared" si="8"/>
        <v>1.4213626602602429</v>
      </c>
      <c r="J42">
        <f t="shared" si="8"/>
        <v>1.3536787240573744</v>
      </c>
      <c r="K42">
        <f t="shared" si="8"/>
        <v>1.2892178324355945</v>
      </c>
      <c r="L42">
        <f t="shared" si="8"/>
        <v>1.2278265070815186</v>
      </c>
    </row>
    <row r="43" spans="1:12" x14ac:dyDescent="0.25">
      <c r="A43" t="s">
        <v>38</v>
      </c>
      <c r="B43">
        <f>SUM(B42:L42)</f>
        <v>5.4434698583696246</v>
      </c>
    </row>
    <row r="45" spans="1:12" x14ac:dyDescent="0.25">
      <c r="A45" t="s">
        <v>40</v>
      </c>
      <c r="B45" s="1">
        <v>0</v>
      </c>
    </row>
    <row r="46" spans="1:12" x14ac:dyDescent="0.25">
      <c r="A46" t="s">
        <v>36</v>
      </c>
      <c r="B46">
        <v>-20</v>
      </c>
      <c r="C46">
        <v>3.5</v>
      </c>
      <c r="D46">
        <f>C46*(1+$B45)</f>
        <v>3.5</v>
      </c>
      <c r="E46">
        <f t="shared" ref="E46:L46" si="9">D46*(1+$B45)</f>
        <v>3.5</v>
      </c>
      <c r="F46">
        <f t="shared" si="9"/>
        <v>3.5</v>
      </c>
      <c r="G46">
        <f t="shared" si="9"/>
        <v>3.5</v>
      </c>
      <c r="H46">
        <f t="shared" si="9"/>
        <v>3.5</v>
      </c>
      <c r="I46">
        <f t="shared" si="9"/>
        <v>3.5</v>
      </c>
      <c r="J46">
        <f t="shared" si="9"/>
        <v>3.5</v>
      </c>
      <c r="K46">
        <f t="shared" si="9"/>
        <v>3.5</v>
      </c>
      <c r="L46">
        <f t="shared" si="9"/>
        <v>3.5</v>
      </c>
    </row>
    <row r="47" spans="1:12" x14ac:dyDescent="0.25">
      <c r="A47" t="s">
        <v>37</v>
      </c>
      <c r="B47" s="1">
        <v>0.05</v>
      </c>
    </row>
    <row r="48" spans="1:12" x14ac:dyDescent="0.25">
      <c r="A48" t="s">
        <v>39</v>
      </c>
      <c r="B48">
        <f>B46/(1+$B47)^B$74</f>
        <v>-20</v>
      </c>
      <c r="C48">
        <f t="shared" ref="C48:L48" si="10">C46/(1+$B47)^C$27</f>
        <v>3.333333333333333</v>
      </c>
      <c r="D48">
        <f t="shared" si="10"/>
        <v>3.1746031746031744</v>
      </c>
      <c r="E48">
        <f t="shared" si="10"/>
        <v>3.023431594860166</v>
      </c>
      <c r="F48">
        <f t="shared" si="10"/>
        <v>2.8794586617715869</v>
      </c>
      <c r="G48">
        <f t="shared" si="10"/>
        <v>2.7423415826396065</v>
      </c>
      <c r="H48">
        <f t="shared" si="10"/>
        <v>2.611753888228197</v>
      </c>
      <c r="I48">
        <f t="shared" si="10"/>
        <v>2.4873846554554251</v>
      </c>
      <c r="J48">
        <f t="shared" si="10"/>
        <v>2.3689377671004053</v>
      </c>
      <c r="K48">
        <f t="shared" si="10"/>
        <v>2.2561312067622903</v>
      </c>
      <c r="L48">
        <f t="shared" si="10"/>
        <v>2.1486963873926577</v>
      </c>
    </row>
    <row r="49" spans="1:2" x14ac:dyDescent="0.25">
      <c r="A49" t="s">
        <v>38</v>
      </c>
      <c r="B49">
        <f>SUM(B48:L48)</f>
        <v>7.0260722521468413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6"/>
  <sheetViews>
    <sheetView workbookViewId="0">
      <selection activeCell="D25" sqref="D25"/>
    </sheetView>
  </sheetViews>
  <sheetFormatPr defaultRowHeight="12.5" x14ac:dyDescent="0.25"/>
  <cols>
    <col min="1" max="1" width="23.7265625" customWidth="1"/>
  </cols>
  <sheetData>
    <row r="1" spans="1:4" x14ac:dyDescent="0.25">
      <c r="A1" t="s">
        <v>82</v>
      </c>
      <c r="B1">
        <v>0.57499999999999996</v>
      </c>
    </row>
    <row r="2" spans="1:4" x14ac:dyDescent="0.25">
      <c r="A2" t="s">
        <v>83</v>
      </c>
      <c r="B2">
        <f>1-B1</f>
        <v>0.42500000000000004</v>
      </c>
    </row>
    <row r="3" spans="1:4" x14ac:dyDescent="0.25">
      <c r="A3" t="s">
        <v>84</v>
      </c>
      <c r="B3">
        <v>0.25</v>
      </c>
    </row>
    <row r="4" spans="1:4" x14ac:dyDescent="0.25">
      <c r="A4" t="s">
        <v>85</v>
      </c>
      <c r="B4">
        <v>0.3</v>
      </c>
      <c r="C4">
        <v>0.6</v>
      </c>
      <c r="D4">
        <v>0.9</v>
      </c>
    </row>
    <row r="5" spans="1:4" x14ac:dyDescent="0.25">
      <c r="A5" t="s">
        <v>86</v>
      </c>
      <c r="B5">
        <f>(1+B4*$B$3)^$B$1*(1-B4*$B$3)^$B$2-1</f>
        <v>8.4865334598465125E-3</v>
      </c>
      <c r="C5">
        <f>(1+C4*$B$3)^$B$1*(1-C4*$B$3)^$B$2-1</f>
        <v>1.1356573606426279E-2</v>
      </c>
      <c r="D5">
        <f>(1+D4*$B$3)^$B$1*(1-D4*$B$3)^$B$2-1</f>
        <v>8.3968365273392465E-3</v>
      </c>
    </row>
    <row r="6" spans="1:4" x14ac:dyDescent="0.25">
      <c r="A6" t="s">
        <v>87</v>
      </c>
      <c r="B6">
        <f>B4*(2*$B$1-1)*$B$3</f>
        <v>1.1249999999999993E-2</v>
      </c>
      <c r="C6">
        <f>C4*(2*$B$1-1)*$B$3</f>
        <v>2.2499999999999985E-2</v>
      </c>
      <c r="D6">
        <f>D4*(2*$B$1-1)*$B$3</f>
        <v>3.3749999999999981E-2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8"/>
  <sheetViews>
    <sheetView topLeftCell="A100" workbookViewId="0">
      <selection activeCell="A118" sqref="A118:F138"/>
    </sheetView>
  </sheetViews>
  <sheetFormatPr defaultRowHeight="12.5" x14ac:dyDescent="0.25"/>
  <cols>
    <col min="1" max="1" width="28.54296875" customWidth="1"/>
    <col min="2" max="2" width="10.54296875" customWidth="1"/>
    <col min="5" max="5" width="28.36328125" customWidth="1"/>
  </cols>
  <sheetData>
    <row r="1" spans="1:2" x14ac:dyDescent="0.25">
      <c r="A1" s="8" t="s">
        <v>53</v>
      </c>
    </row>
    <row r="2" spans="1:2" x14ac:dyDescent="0.25">
      <c r="A2" t="s">
        <v>24</v>
      </c>
    </row>
    <row r="3" spans="1:2" x14ac:dyDescent="0.25">
      <c r="A3" t="s">
        <v>10</v>
      </c>
      <c r="B3">
        <v>10000</v>
      </c>
    </row>
    <row r="4" spans="1:2" x14ac:dyDescent="0.25">
      <c r="A4" t="s">
        <v>11</v>
      </c>
      <c r="B4" s="1">
        <v>0.4</v>
      </c>
    </row>
    <row r="5" spans="1:2" x14ac:dyDescent="0.25">
      <c r="A5" t="s">
        <v>25</v>
      </c>
      <c r="B5">
        <v>20000</v>
      </c>
    </row>
    <row r="6" spans="1:2" x14ac:dyDescent="0.25">
      <c r="A6" t="s">
        <v>26</v>
      </c>
      <c r="B6">
        <f>B5*(1-B4)-B3</f>
        <v>2000</v>
      </c>
    </row>
    <row r="7" spans="1:2" x14ac:dyDescent="0.25">
      <c r="A7" t="s">
        <v>27</v>
      </c>
      <c r="B7">
        <v>40000</v>
      </c>
    </row>
    <row r="8" spans="1:2" x14ac:dyDescent="0.25">
      <c r="A8" t="s">
        <v>28</v>
      </c>
      <c r="B8">
        <f xml:space="preserve"> B7*(1-B4)-B3</f>
        <v>14000</v>
      </c>
    </row>
    <row r="10" spans="1:2" x14ac:dyDescent="0.25">
      <c r="A10" t="s">
        <v>29</v>
      </c>
    </row>
    <row r="11" spans="1:2" x14ac:dyDescent="0.25">
      <c r="A11" t="s">
        <v>10</v>
      </c>
      <c r="B11">
        <v>4000</v>
      </c>
    </row>
    <row r="12" spans="1:2" x14ac:dyDescent="0.25">
      <c r="A12" t="s">
        <v>11</v>
      </c>
      <c r="B12" s="1">
        <v>0.6</v>
      </c>
    </row>
    <row r="13" spans="1:2" x14ac:dyDescent="0.25">
      <c r="A13" t="s">
        <v>25</v>
      </c>
      <c r="B13">
        <v>20000</v>
      </c>
    </row>
    <row r="14" spans="1:2" x14ac:dyDescent="0.25">
      <c r="A14" t="s">
        <v>26</v>
      </c>
      <c r="B14">
        <f>B13*(1-B12)-B11</f>
        <v>4000</v>
      </c>
    </row>
    <row r="15" spans="1:2" x14ac:dyDescent="0.25">
      <c r="A15" t="s">
        <v>27</v>
      </c>
      <c r="B15">
        <v>40000</v>
      </c>
    </row>
    <row r="16" spans="1:2" x14ac:dyDescent="0.25">
      <c r="A16" t="s">
        <v>28</v>
      </c>
      <c r="B16">
        <f xml:space="preserve"> B15*(1-B12)-B11</f>
        <v>12000</v>
      </c>
    </row>
    <row r="18" spans="1:6" x14ac:dyDescent="0.25">
      <c r="A18" s="8" t="s">
        <v>52</v>
      </c>
    </row>
    <row r="19" spans="1:6" x14ac:dyDescent="0.25">
      <c r="A19" t="s">
        <v>16</v>
      </c>
    </row>
    <row r="20" spans="1:6" x14ac:dyDescent="0.25">
      <c r="A20" t="s">
        <v>17</v>
      </c>
      <c r="B20">
        <v>40000</v>
      </c>
      <c r="C20">
        <v>40000</v>
      </c>
      <c r="D20">
        <v>40000</v>
      </c>
      <c r="E20">
        <v>40000</v>
      </c>
      <c r="F20">
        <v>40000</v>
      </c>
    </row>
    <row r="21" spans="1:6" x14ac:dyDescent="0.25">
      <c r="A21" t="s">
        <v>18</v>
      </c>
      <c r="B21">
        <v>50</v>
      </c>
      <c r="C21">
        <v>50</v>
      </c>
      <c r="D21">
        <v>50</v>
      </c>
      <c r="E21">
        <v>50</v>
      </c>
      <c r="F21">
        <v>50</v>
      </c>
    </row>
    <row r="22" spans="1:6" x14ac:dyDescent="0.25">
      <c r="A22" t="s">
        <v>19</v>
      </c>
      <c r="B22">
        <v>10</v>
      </c>
      <c r="C22">
        <v>10</v>
      </c>
      <c r="D22">
        <v>10</v>
      </c>
      <c r="E22">
        <v>10</v>
      </c>
      <c r="F22">
        <v>10</v>
      </c>
    </row>
    <row r="23" spans="1:6" x14ac:dyDescent="0.25">
      <c r="A23" t="s">
        <v>20</v>
      </c>
      <c r="B23">
        <v>4</v>
      </c>
      <c r="C23">
        <v>4</v>
      </c>
      <c r="D23">
        <v>4</v>
      </c>
      <c r="E23">
        <v>4</v>
      </c>
      <c r="F23">
        <v>4</v>
      </c>
    </row>
    <row r="24" spans="1:6" x14ac:dyDescent="0.25">
      <c r="A24" t="s">
        <v>21</v>
      </c>
      <c r="B24">
        <v>10000</v>
      </c>
      <c r="C24">
        <v>15000</v>
      </c>
      <c r="D24">
        <v>20000</v>
      </c>
      <c r="E24">
        <v>25000</v>
      </c>
      <c r="F24">
        <v>30000</v>
      </c>
    </row>
    <row r="25" spans="1:6" x14ac:dyDescent="0.25">
      <c r="A25" t="s">
        <v>22</v>
      </c>
      <c r="B25">
        <f>B20+B24*B22/B21*B23</f>
        <v>48000</v>
      </c>
      <c r="C25">
        <f>C20+C24*C22/C21*C23</f>
        <v>52000</v>
      </c>
      <c r="D25">
        <f>D20+D24*D22/D21*D23</f>
        <v>56000</v>
      </c>
      <c r="E25">
        <f>E20+E24*E22/E21*E23</f>
        <v>60000</v>
      </c>
      <c r="F25">
        <f>F20+F24*F22/F21*F23</f>
        <v>64000</v>
      </c>
    </row>
    <row r="27" spans="1:6" x14ac:dyDescent="0.25">
      <c r="A27" t="s">
        <v>23</v>
      </c>
    </row>
    <row r="28" spans="1:6" x14ac:dyDescent="0.25">
      <c r="A28" t="s">
        <v>17</v>
      </c>
      <c r="B28">
        <v>20000</v>
      </c>
      <c r="C28">
        <v>20000</v>
      </c>
      <c r="D28">
        <v>20000</v>
      </c>
      <c r="E28">
        <v>20000</v>
      </c>
      <c r="F28">
        <v>20000</v>
      </c>
    </row>
    <row r="29" spans="1:6" x14ac:dyDescent="0.25">
      <c r="A29" t="s">
        <v>18</v>
      </c>
      <c r="B29">
        <v>25</v>
      </c>
      <c r="C29">
        <v>25</v>
      </c>
      <c r="D29">
        <v>25</v>
      </c>
      <c r="E29">
        <v>25</v>
      </c>
      <c r="F29">
        <v>25</v>
      </c>
    </row>
    <row r="30" spans="1:6" x14ac:dyDescent="0.25">
      <c r="A30" t="s">
        <v>19</v>
      </c>
      <c r="B30">
        <v>10</v>
      </c>
      <c r="C30">
        <v>10</v>
      </c>
      <c r="D30">
        <v>10</v>
      </c>
      <c r="E30">
        <v>10</v>
      </c>
      <c r="F30">
        <v>10</v>
      </c>
    </row>
    <row r="31" spans="1:6" x14ac:dyDescent="0.25">
      <c r="A31" t="s">
        <v>20</v>
      </c>
      <c r="B31">
        <v>4</v>
      </c>
      <c r="C31">
        <v>4</v>
      </c>
      <c r="D31">
        <v>4</v>
      </c>
      <c r="E31">
        <v>4</v>
      </c>
      <c r="F31">
        <v>4</v>
      </c>
    </row>
    <row r="32" spans="1:6" x14ac:dyDescent="0.25">
      <c r="A32" t="s">
        <v>21</v>
      </c>
      <c r="B32">
        <v>10000</v>
      </c>
      <c r="C32">
        <v>15000</v>
      </c>
      <c r="D32">
        <v>20000</v>
      </c>
      <c r="E32">
        <v>25000</v>
      </c>
      <c r="F32">
        <v>30000</v>
      </c>
    </row>
    <row r="33" spans="1:7" x14ac:dyDescent="0.25">
      <c r="A33" t="s">
        <v>22</v>
      </c>
      <c r="B33">
        <f>B28+B32*B30/B29*B31</f>
        <v>36000</v>
      </c>
      <c r="C33">
        <f>C28+C32*C30/C29*C31</f>
        <v>44000</v>
      </c>
      <c r="D33">
        <f>D28+D32*D30/D29*D31</f>
        <v>52000</v>
      </c>
      <c r="E33">
        <f>E28+E32*E30/E29*E31</f>
        <v>60000</v>
      </c>
      <c r="F33">
        <f>F28+F32*F30/F29*F31</f>
        <v>68000</v>
      </c>
    </row>
    <row r="36" spans="1:7" x14ac:dyDescent="0.25">
      <c r="A36" s="8" t="s">
        <v>65</v>
      </c>
    </row>
    <row r="37" spans="1:7" x14ac:dyDescent="0.25">
      <c r="A37" t="s">
        <v>30</v>
      </c>
    </row>
    <row r="38" spans="1:7" x14ac:dyDescent="0.25">
      <c r="A38" t="s">
        <v>31</v>
      </c>
      <c r="B38">
        <v>1</v>
      </c>
    </row>
    <row r="39" spans="1:7" x14ac:dyDescent="0.25">
      <c r="A39" t="s">
        <v>13</v>
      </c>
      <c r="B39" s="1">
        <v>0.8</v>
      </c>
    </row>
    <row r="40" spans="1:7" x14ac:dyDescent="0.25">
      <c r="A40" t="s">
        <v>32</v>
      </c>
      <c r="B40">
        <v>1</v>
      </c>
    </row>
    <row r="41" spans="1:7" x14ac:dyDescent="0.25">
      <c r="A41" t="s">
        <v>14</v>
      </c>
      <c r="B41">
        <v>15</v>
      </c>
      <c r="D41" t="s">
        <v>34</v>
      </c>
      <c r="E41" s="1">
        <v>0.2</v>
      </c>
      <c r="F41" t="s">
        <v>35</v>
      </c>
      <c r="G41" s="1">
        <v>0.2</v>
      </c>
    </row>
    <row r="42" spans="1:7" x14ac:dyDescent="0.25">
      <c r="A42" t="s">
        <v>12</v>
      </c>
      <c r="B42">
        <f>B41*B40*(1-B39)-B38</f>
        <v>1.9999999999999991</v>
      </c>
      <c r="E42">
        <f>B41*(1-E41)*B40*(1-B39)-B38</f>
        <v>1.3999999999999995</v>
      </c>
      <c r="G42">
        <f>B41*(1+G41)*B40*(1-B39)-B38</f>
        <v>2.5999999999999992</v>
      </c>
    </row>
    <row r="44" spans="1:7" x14ac:dyDescent="0.25">
      <c r="A44" t="s">
        <v>33</v>
      </c>
    </row>
    <row r="45" spans="1:7" x14ac:dyDescent="0.25">
      <c r="A45" t="s">
        <v>31</v>
      </c>
      <c r="B45">
        <v>7</v>
      </c>
    </row>
    <row r="46" spans="1:7" x14ac:dyDescent="0.25">
      <c r="A46" t="s">
        <v>13</v>
      </c>
      <c r="B46" s="1">
        <v>0.4</v>
      </c>
    </row>
    <row r="47" spans="1:7" x14ac:dyDescent="0.25">
      <c r="A47" t="s">
        <v>32</v>
      </c>
      <c r="B47">
        <v>1</v>
      </c>
    </row>
    <row r="48" spans="1:7" x14ac:dyDescent="0.25">
      <c r="A48" t="s">
        <v>14</v>
      </c>
      <c r="B48">
        <v>15</v>
      </c>
      <c r="D48" t="s">
        <v>34</v>
      </c>
      <c r="E48" s="1">
        <v>0.2</v>
      </c>
      <c r="F48" t="s">
        <v>35</v>
      </c>
      <c r="G48" s="1">
        <v>0.2</v>
      </c>
    </row>
    <row r="49" spans="1:12" x14ac:dyDescent="0.25">
      <c r="A49" t="s">
        <v>12</v>
      </c>
      <c r="B49">
        <f>B48*B47*(1-B46)-B45</f>
        <v>2</v>
      </c>
      <c r="E49">
        <f>B48*(1-E48)*B47*(1-B46)-B45</f>
        <v>0.19999999999999929</v>
      </c>
      <c r="G49">
        <f>B48*(1+G48)*B47*(1-B46)-B45</f>
        <v>3.7999999999999989</v>
      </c>
    </row>
    <row r="52" spans="1:12" x14ac:dyDescent="0.25">
      <c r="A52" s="8" t="s">
        <v>76</v>
      </c>
    </row>
    <row r="53" spans="1:12" x14ac:dyDescent="0.25">
      <c r="B53">
        <v>0</v>
      </c>
      <c r="C53">
        <v>1</v>
      </c>
      <c r="D53">
        <v>2</v>
      </c>
      <c r="E53">
        <v>3</v>
      </c>
      <c r="F53">
        <v>4</v>
      </c>
      <c r="G53">
        <v>5</v>
      </c>
      <c r="H53">
        <v>6</v>
      </c>
      <c r="I53">
        <v>7</v>
      </c>
      <c r="J53">
        <v>8</v>
      </c>
      <c r="K53">
        <v>9</v>
      </c>
      <c r="L53">
        <v>10</v>
      </c>
    </row>
    <row r="54" spans="1:12" x14ac:dyDescent="0.25">
      <c r="A54" t="s">
        <v>36</v>
      </c>
      <c r="B54">
        <v>-10</v>
      </c>
      <c r="C54">
        <v>3</v>
      </c>
      <c r="D54">
        <v>3</v>
      </c>
      <c r="E54">
        <v>3</v>
      </c>
      <c r="F54">
        <v>3</v>
      </c>
      <c r="G54">
        <v>3</v>
      </c>
      <c r="H54">
        <v>3</v>
      </c>
      <c r="I54">
        <v>3</v>
      </c>
      <c r="J54">
        <v>3</v>
      </c>
      <c r="K54">
        <v>3</v>
      </c>
      <c r="L54">
        <v>3</v>
      </c>
    </row>
    <row r="55" spans="1:12" x14ac:dyDescent="0.25">
      <c r="A55" t="s">
        <v>37</v>
      </c>
      <c r="B55" s="1">
        <v>0.12</v>
      </c>
    </row>
    <row r="56" spans="1:12" x14ac:dyDescent="0.25">
      <c r="A56" t="s">
        <v>39</v>
      </c>
      <c r="B56">
        <f t="shared" ref="B56:L56" si="0">B54/(1+$B55)^B$53</f>
        <v>-10</v>
      </c>
      <c r="C56">
        <f t="shared" si="0"/>
        <v>2.6785714285714284</v>
      </c>
      <c r="D56">
        <f t="shared" si="0"/>
        <v>2.391581632653061</v>
      </c>
      <c r="E56">
        <f t="shared" si="0"/>
        <v>2.1353407434402327</v>
      </c>
      <c r="F56">
        <f t="shared" si="0"/>
        <v>1.9065542352144935</v>
      </c>
      <c r="G56">
        <f t="shared" si="0"/>
        <v>1.7022805671557977</v>
      </c>
      <c r="H56">
        <f t="shared" si="0"/>
        <v>1.519893363531962</v>
      </c>
      <c r="I56">
        <f t="shared" si="0"/>
        <v>1.3570476460106804</v>
      </c>
      <c r="J56">
        <f t="shared" si="0"/>
        <v>1.2116496839381075</v>
      </c>
      <c r="K56">
        <f t="shared" si="0"/>
        <v>1.0818300749447387</v>
      </c>
      <c r="L56">
        <f t="shared" si="0"/>
        <v>0.96591970977208796</v>
      </c>
    </row>
    <row r="57" spans="1:12" x14ac:dyDescent="0.25">
      <c r="A57" t="s">
        <v>38</v>
      </c>
      <c r="B57">
        <f>SUM(B56:L56)</f>
        <v>6.9506690852325894</v>
      </c>
    </row>
    <row r="59" spans="1:12" x14ac:dyDescent="0.25">
      <c r="A59" t="s">
        <v>40</v>
      </c>
      <c r="B59" s="1">
        <v>0.1</v>
      </c>
    </row>
    <row r="60" spans="1:12" x14ac:dyDescent="0.25">
      <c r="A60" t="s">
        <v>36</v>
      </c>
      <c r="B60">
        <v>-20</v>
      </c>
      <c r="C60">
        <v>3</v>
      </c>
      <c r="D60">
        <f>C60*(1+$B59)</f>
        <v>3.3000000000000003</v>
      </c>
      <c r="E60">
        <f t="shared" ref="E60:L60" si="1">D60*(1+$B59)</f>
        <v>3.6300000000000008</v>
      </c>
      <c r="F60">
        <f t="shared" si="1"/>
        <v>3.9930000000000012</v>
      </c>
      <c r="G60">
        <f t="shared" si="1"/>
        <v>4.3923000000000014</v>
      </c>
      <c r="H60">
        <f t="shared" si="1"/>
        <v>4.8315300000000017</v>
      </c>
      <c r="I60">
        <f t="shared" si="1"/>
        <v>5.3146830000000023</v>
      </c>
      <c r="J60">
        <f t="shared" si="1"/>
        <v>5.8461513000000034</v>
      </c>
      <c r="K60">
        <f t="shared" si="1"/>
        <v>6.4307664300000038</v>
      </c>
      <c r="L60">
        <f t="shared" si="1"/>
        <v>7.0738430730000044</v>
      </c>
    </row>
    <row r="61" spans="1:12" x14ac:dyDescent="0.25">
      <c r="A61" t="s">
        <v>37</v>
      </c>
      <c r="B61" s="1">
        <v>0.12</v>
      </c>
    </row>
    <row r="62" spans="1:12" x14ac:dyDescent="0.25">
      <c r="A62" t="s">
        <v>39</v>
      </c>
      <c r="B62">
        <f t="shared" ref="B62:L62" si="2">B60/(1+$B61)^B$53</f>
        <v>-20</v>
      </c>
      <c r="C62">
        <f t="shared" si="2"/>
        <v>2.6785714285714284</v>
      </c>
      <c r="D62">
        <f t="shared" si="2"/>
        <v>2.6307397959183674</v>
      </c>
      <c r="E62">
        <f t="shared" si="2"/>
        <v>2.5837622995626819</v>
      </c>
      <c r="F62">
        <f t="shared" si="2"/>
        <v>2.5376236870704916</v>
      </c>
      <c r="G62">
        <f t="shared" si="2"/>
        <v>2.4923089783728041</v>
      </c>
      <c r="H62">
        <f t="shared" si="2"/>
        <v>2.4478034609018611</v>
      </c>
      <c r="I62">
        <f t="shared" si="2"/>
        <v>2.4040926848143278</v>
      </c>
      <c r="J62">
        <f t="shared" si="2"/>
        <v>2.3611624582997863</v>
      </c>
      <c r="K62">
        <f t="shared" si="2"/>
        <v>2.3189988429730044</v>
      </c>
      <c r="L62">
        <f t="shared" si="2"/>
        <v>2.2775881493484866</v>
      </c>
    </row>
    <row r="63" spans="1:12" x14ac:dyDescent="0.25">
      <c r="A63" t="s">
        <v>38</v>
      </c>
      <c r="B63">
        <f>SUM(B62:L62)</f>
        <v>4.7326517858332391</v>
      </c>
    </row>
    <row r="65" spans="1:12" x14ac:dyDescent="0.25">
      <c r="B65">
        <v>0</v>
      </c>
      <c r="C65">
        <v>1</v>
      </c>
      <c r="D65">
        <v>2</v>
      </c>
      <c r="E65">
        <v>3</v>
      </c>
      <c r="F65">
        <v>4</v>
      </c>
      <c r="G65">
        <v>5</v>
      </c>
      <c r="H65">
        <v>6</v>
      </c>
      <c r="I65">
        <v>7</v>
      </c>
      <c r="J65">
        <v>8</v>
      </c>
      <c r="K65">
        <v>9</v>
      </c>
      <c r="L65">
        <v>10</v>
      </c>
    </row>
    <row r="66" spans="1:12" x14ac:dyDescent="0.25">
      <c r="A66" t="s">
        <v>36</v>
      </c>
      <c r="B66">
        <v>-10</v>
      </c>
      <c r="C66">
        <v>3</v>
      </c>
      <c r="D66">
        <v>3</v>
      </c>
      <c r="E66">
        <v>3</v>
      </c>
      <c r="F66">
        <v>3</v>
      </c>
      <c r="G66">
        <v>3</v>
      </c>
      <c r="H66">
        <v>3</v>
      </c>
      <c r="I66">
        <v>3</v>
      </c>
      <c r="J66">
        <v>3</v>
      </c>
      <c r="K66">
        <v>3</v>
      </c>
      <c r="L66">
        <v>3</v>
      </c>
    </row>
    <row r="67" spans="1:12" x14ac:dyDescent="0.25">
      <c r="A67" t="s">
        <v>37</v>
      </c>
      <c r="B67" s="1">
        <v>0.05</v>
      </c>
    </row>
    <row r="68" spans="1:12" x14ac:dyDescent="0.25">
      <c r="A68" t="s">
        <v>39</v>
      </c>
      <c r="B68">
        <f t="shared" ref="B68:L68" si="3">B66/(1+$B67)^B$53</f>
        <v>-10</v>
      </c>
      <c r="C68">
        <f t="shared" si="3"/>
        <v>2.8571428571428572</v>
      </c>
      <c r="D68">
        <f t="shared" si="3"/>
        <v>2.7210884353741496</v>
      </c>
      <c r="E68">
        <f t="shared" si="3"/>
        <v>2.5915127955944279</v>
      </c>
      <c r="F68">
        <f t="shared" si="3"/>
        <v>2.468107424375646</v>
      </c>
      <c r="G68">
        <f t="shared" si="3"/>
        <v>2.3505784994053767</v>
      </c>
      <c r="H68">
        <f t="shared" si="3"/>
        <v>2.2386461899098831</v>
      </c>
      <c r="I68">
        <f t="shared" si="3"/>
        <v>2.1320439903903643</v>
      </c>
      <c r="J68">
        <f t="shared" si="3"/>
        <v>2.0305180860860617</v>
      </c>
      <c r="K68">
        <f t="shared" si="3"/>
        <v>1.9338267486533918</v>
      </c>
      <c r="L68">
        <f t="shared" si="3"/>
        <v>1.8417397606222778</v>
      </c>
    </row>
    <row r="69" spans="1:12" x14ac:dyDescent="0.25">
      <c r="A69" t="s">
        <v>38</v>
      </c>
      <c r="B69">
        <f>SUM(B68:L68)</f>
        <v>13.165204787554437</v>
      </c>
    </row>
    <row r="71" spans="1:12" x14ac:dyDescent="0.25">
      <c r="A71" t="s">
        <v>40</v>
      </c>
      <c r="B71" s="1">
        <v>0.1</v>
      </c>
    </row>
    <row r="72" spans="1:12" x14ac:dyDescent="0.25">
      <c r="A72" t="s">
        <v>36</v>
      </c>
      <c r="B72">
        <v>-20</v>
      </c>
      <c r="C72">
        <v>3</v>
      </c>
      <c r="D72">
        <f t="shared" ref="D72:L72" si="4">C72*(1+$B71)</f>
        <v>3.3000000000000003</v>
      </c>
      <c r="E72">
        <f t="shared" si="4"/>
        <v>3.6300000000000008</v>
      </c>
      <c r="F72">
        <f t="shared" si="4"/>
        <v>3.9930000000000012</v>
      </c>
      <c r="G72">
        <f t="shared" si="4"/>
        <v>4.3923000000000014</v>
      </c>
      <c r="H72">
        <f t="shared" si="4"/>
        <v>4.8315300000000017</v>
      </c>
      <c r="I72">
        <f t="shared" si="4"/>
        <v>5.3146830000000023</v>
      </c>
      <c r="J72">
        <f t="shared" si="4"/>
        <v>5.8461513000000034</v>
      </c>
      <c r="K72">
        <f t="shared" si="4"/>
        <v>6.4307664300000038</v>
      </c>
      <c r="L72">
        <f t="shared" si="4"/>
        <v>7.0738430730000044</v>
      </c>
    </row>
    <row r="73" spans="1:12" x14ac:dyDescent="0.25">
      <c r="A73" t="s">
        <v>37</v>
      </c>
      <c r="B73" s="1">
        <v>0.05</v>
      </c>
    </row>
    <row r="74" spans="1:12" x14ac:dyDescent="0.25">
      <c r="A74" t="s">
        <v>39</v>
      </c>
      <c r="B74">
        <f t="shared" ref="B74:L74" si="5">B72/(1+$B73)^B$53</f>
        <v>-20</v>
      </c>
      <c r="C74">
        <f t="shared" si="5"/>
        <v>2.8571428571428572</v>
      </c>
      <c r="D74">
        <f t="shared" si="5"/>
        <v>2.9931972789115648</v>
      </c>
      <c r="E74">
        <f t="shared" si="5"/>
        <v>3.1357304826692585</v>
      </c>
      <c r="F74">
        <f t="shared" si="5"/>
        <v>3.2850509818439857</v>
      </c>
      <c r="G74">
        <f t="shared" si="5"/>
        <v>3.4414819809794133</v>
      </c>
      <c r="H74">
        <f t="shared" si="5"/>
        <v>3.605362075311767</v>
      </c>
      <c r="I74">
        <f t="shared" si="5"/>
        <v>3.7770459836599457</v>
      </c>
      <c r="J74">
        <f t="shared" si="5"/>
        <v>3.9569053162151824</v>
      </c>
      <c r="K74">
        <f t="shared" si="5"/>
        <v>4.1453293788920957</v>
      </c>
      <c r="L74">
        <f t="shared" si="5"/>
        <v>4.3427260159821959</v>
      </c>
    </row>
    <row r="75" spans="1:12" x14ac:dyDescent="0.25">
      <c r="A75" t="s">
        <v>38</v>
      </c>
      <c r="B75">
        <f>SUM(B74:L74)</f>
        <v>15.539972351608265</v>
      </c>
    </row>
    <row r="77" spans="1:12" x14ac:dyDescent="0.25">
      <c r="A77" s="8" t="s">
        <v>133</v>
      </c>
    </row>
    <row r="78" spans="1:12" x14ac:dyDescent="0.25">
      <c r="B78">
        <v>0</v>
      </c>
      <c r="C78">
        <v>1</v>
      </c>
      <c r="D78">
        <v>2</v>
      </c>
      <c r="E78">
        <v>3</v>
      </c>
      <c r="F78">
        <v>4</v>
      </c>
      <c r="G78">
        <v>5</v>
      </c>
      <c r="H78">
        <v>6</v>
      </c>
      <c r="I78">
        <v>7</v>
      </c>
      <c r="J78">
        <v>8</v>
      </c>
      <c r="K78">
        <v>9</v>
      </c>
      <c r="L78">
        <v>10</v>
      </c>
    </row>
    <row r="79" spans="1:12" x14ac:dyDescent="0.25">
      <c r="A79" t="s">
        <v>36</v>
      </c>
      <c r="B79">
        <v>-10</v>
      </c>
      <c r="C79">
        <v>4</v>
      </c>
      <c r="D79">
        <v>4</v>
      </c>
      <c r="E79">
        <v>4</v>
      </c>
      <c r="F79">
        <v>4</v>
      </c>
      <c r="G79">
        <v>4</v>
      </c>
    </row>
    <row r="80" spans="1:12" x14ac:dyDescent="0.25">
      <c r="A80" t="s">
        <v>37</v>
      </c>
      <c r="B80" s="1">
        <v>0.12</v>
      </c>
    </row>
    <row r="81" spans="1:12" x14ac:dyDescent="0.25">
      <c r="A81" t="s">
        <v>39</v>
      </c>
      <c r="B81">
        <f t="shared" ref="B81:G81" si="6">B79/(1+$B80)^B$53</f>
        <v>-10</v>
      </c>
      <c r="C81">
        <f t="shared" si="6"/>
        <v>3.5714285714285712</v>
      </c>
      <c r="D81">
        <f t="shared" si="6"/>
        <v>3.1887755102040813</v>
      </c>
      <c r="E81">
        <f t="shared" si="6"/>
        <v>2.8471209912536435</v>
      </c>
      <c r="F81">
        <f t="shared" si="6"/>
        <v>2.5420723136193248</v>
      </c>
      <c r="G81">
        <f t="shared" si="6"/>
        <v>2.2697074228743968</v>
      </c>
    </row>
    <row r="82" spans="1:12" x14ac:dyDescent="0.25">
      <c r="A82" t="s">
        <v>38</v>
      </c>
      <c r="B82">
        <f>SUM(B81:L81)</f>
        <v>4.419104809380018</v>
      </c>
    </row>
    <row r="84" spans="1:12" x14ac:dyDescent="0.25">
      <c r="A84" t="s">
        <v>36</v>
      </c>
      <c r="B84">
        <v>-20</v>
      </c>
      <c r="C84">
        <v>4</v>
      </c>
      <c r="D84">
        <v>4</v>
      </c>
      <c r="E84">
        <v>4</v>
      </c>
      <c r="F84">
        <v>4</v>
      </c>
      <c r="G84">
        <v>4</v>
      </c>
      <c r="H84">
        <v>4</v>
      </c>
      <c r="I84">
        <v>4</v>
      </c>
      <c r="J84">
        <v>4</v>
      </c>
      <c r="K84">
        <v>4</v>
      </c>
      <c r="L84">
        <v>4</v>
      </c>
    </row>
    <row r="85" spans="1:12" x14ac:dyDescent="0.25">
      <c r="A85" t="s">
        <v>37</v>
      </c>
      <c r="B85" s="1">
        <v>0.12</v>
      </c>
    </row>
    <row r="86" spans="1:12" x14ac:dyDescent="0.25">
      <c r="A86" t="s">
        <v>39</v>
      </c>
      <c r="B86">
        <f t="shared" ref="B86:L86" si="7">B84/(1+$B85)^B$53</f>
        <v>-20</v>
      </c>
      <c r="C86">
        <f t="shared" si="7"/>
        <v>3.5714285714285712</v>
      </c>
      <c r="D86">
        <f t="shared" si="7"/>
        <v>3.1887755102040813</v>
      </c>
      <c r="E86">
        <f t="shared" si="7"/>
        <v>2.8471209912536435</v>
      </c>
      <c r="F86">
        <f t="shared" si="7"/>
        <v>2.5420723136193248</v>
      </c>
      <c r="G86">
        <f t="shared" si="7"/>
        <v>2.2697074228743968</v>
      </c>
      <c r="H86">
        <f t="shared" si="7"/>
        <v>2.0265244847092827</v>
      </c>
      <c r="I86">
        <f t="shared" si="7"/>
        <v>1.8093968613475737</v>
      </c>
      <c r="J86">
        <f t="shared" si="7"/>
        <v>1.6155329119174764</v>
      </c>
      <c r="K86">
        <f t="shared" si="7"/>
        <v>1.4424400999263183</v>
      </c>
      <c r="L86">
        <f t="shared" si="7"/>
        <v>1.287892946362784</v>
      </c>
    </row>
    <row r="87" spans="1:12" x14ac:dyDescent="0.25">
      <c r="A87" t="s">
        <v>38</v>
      </c>
      <c r="B87">
        <f>SUM(B86:L86)</f>
        <v>2.6008921136434511</v>
      </c>
    </row>
    <row r="89" spans="1:12" x14ac:dyDescent="0.25">
      <c r="B89">
        <v>0</v>
      </c>
      <c r="C89">
        <v>1</v>
      </c>
      <c r="D89">
        <v>2</v>
      </c>
      <c r="E89">
        <v>3</v>
      </c>
      <c r="F89">
        <v>4</v>
      </c>
      <c r="G89">
        <v>5</v>
      </c>
      <c r="H89">
        <v>6</v>
      </c>
      <c r="I89">
        <v>7</v>
      </c>
      <c r="J89">
        <v>8</v>
      </c>
      <c r="K89">
        <v>9</v>
      </c>
      <c r="L89">
        <v>10</v>
      </c>
    </row>
    <row r="90" spans="1:12" x14ac:dyDescent="0.25">
      <c r="A90" t="s">
        <v>36</v>
      </c>
      <c r="B90">
        <v>-10</v>
      </c>
      <c r="C90">
        <v>4</v>
      </c>
      <c r="D90">
        <v>4</v>
      </c>
      <c r="E90">
        <v>4</v>
      </c>
      <c r="F90">
        <v>4</v>
      </c>
      <c r="G90">
        <v>4</v>
      </c>
    </row>
    <row r="91" spans="1:12" x14ac:dyDescent="0.25">
      <c r="A91" t="s">
        <v>37</v>
      </c>
      <c r="B91" s="1">
        <v>0.06</v>
      </c>
    </row>
    <row r="92" spans="1:12" x14ac:dyDescent="0.25">
      <c r="A92" t="s">
        <v>39</v>
      </c>
      <c r="B92">
        <f t="shared" ref="B92:G92" si="8">B90/(1+$B91)^B$53</f>
        <v>-10</v>
      </c>
      <c r="C92">
        <f t="shared" si="8"/>
        <v>3.773584905660377</v>
      </c>
      <c r="D92">
        <f t="shared" si="8"/>
        <v>3.5599857600569593</v>
      </c>
      <c r="E92">
        <f t="shared" si="8"/>
        <v>3.3584771321292064</v>
      </c>
      <c r="F92">
        <f t="shared" si="8"/>
        <v>3.1683746529520818</v>
      </c>
      <c r="G92">
        <f t="shared" si="8"/>
        <v>2.9890326914642276</v>
      </c>
    </row>
    <row r="93" spans="1:12" x14ac:dyDescent="0.25">
      <c r="A93" t="s">
        <v>38</v>
      </c>
      <c r="B93">
        <f>SUM(B92:L92)</f>
        <v>6.8494551422628511</v>
      </c>
    </row>
    <row r="95" spans="1:12" x14ac:dyDescent="0.25">
      <c r="A95" t="s">
        <v>36</v>
      </c>
      <c r="B95">
        <v>-20</v>
      </c>
      <c r="C95">
        <v>4</v>
      </c>
      <c r="D95">
        <v>4</v>
      </c>
      <c r="E95">
        <v>4</v>
      </c>
      <c r="F95">
        <v>4</v>
      </c>
      <c r="G95">
        <v>4</v>
      </c>
      <c r="H95">
        <v>4</v>
      </c>
      <c r="I95">
        <v>4</v>
      </c>
      <c r="J95">
        <v>4</v>
      </c>
      <c r="K95">
        <v>4</v>
      </c>
      <c r="L95">
        <v>4</v>
      </c>
    </row>
    <row r="96" spans="1:12" x14ac:dyDescent="0.25">
      <c r="A96" t="s">
        <v>37</v>
      </c>
      <c r="B96" s="1">
        <v>0.06</v>
      </c>
    </row>
    <row r="97" spans="1:12" x14ac:dyDescent="0.25">
      <c r="A97" t="s">
        <v>39</v>
      </c>
      <c r="B97">
        <f t="shared" ref="B97:L97" si="9">B95/(1+$B96)^B$53</f>
        <v>-20</v>
      </c>
      <c r="C97">
        <f t="shared" si="9"/>
        <v>3.773584905660377</v>
      </c>
      <c r="D97">
        <f t="shared" si="9"/>
        <v>3.5599857600569593</v>
      </c>
      <c r="E97">
        <f t="shared" si="9"/>
        <v>3.3584771321292064</v>
      </c>
      <c r="F97">
        <f t="shared" si="9"/>
        <v>3.1683746529520818</v>
      </c>
      <c r="G97">
        <f t="shared" si="9"/>
        <v>2.9890326914642276</v>
      </c>
      <c r="H97">
        <f t="shared" si="9"/>
        <v>2.8198421617587051</v>
      </c>
      <c r="I97">
        <f t="shared" si="9"/>
        <v>2.660228454489344</v>
      </c>
      <c r="J97">
        <f t="shared" si="9"/>
        <v>2.5096494853673059</v>
      </c>
      <c r="K97">
        <f t="shared" si="9"/>
        <v>2.3675938541200998</v>
      </c>
      <c r="L97">
        <f t="shared" si="9"/>
        <v>2.2335791076604714</v>
      </c>
    </row>
    <row r="98" spans="1:12" x14ac:dyDescent="0.25">
      <c r="A98" t="s">
        <v>38</v>
      </c>
      <c r="B98">
        <f>SUM(B97:L97)</f>
        <v>9.4403482056587791</v>
      </c>
    </row>
    <row r="117" spans="1:6" x14ac:dyDescent="0.25">
      <c r="A117" s="8" t="s">
        <v>229</v>
      </c>
      <c r="E117" s="8"/>
    </row>
    <row r="118" spans="1:6" x14ac:dyDescent="0.25">
      <c r="A118" t="s">
        <v>230</v>
      </c>
      <c r="E118" t="s">
        <v>230</v>
      </c>
    </row>
    <row r="119" spans="1:6" x14ac:dyDescent="0.25">
      <c r="A119" t="s">
        <v>231</v>
      </c>
      <c r="B119">
        <v>18000</v>
      </c>
      <c r="E119" t="s">
        <v>231</v>
      </c>
      <c r="F119">
        <v>18000</v>
      </c>
    </row>
    <row r="120" spans="1:6" x14ac:dyDescent="0.25">
      <c r="A120" t="s">
        <v>232</v>
      </c>
      <c r="B120">
        <v>65</v>
      </c>
      <c r="E120" t="s">
        <v>232</v>
      </c>
      <c r="F120">
        <v>65</v>
      </c>
    </row>
    <row r="121" spans="1:6" x14ac:dyDescent="0.25">
      <c r="A121" t="s">
        <v>233</v>
      </c>
      <c r="B121">
        <v>22</v>
      </c>
      <c r="E121" t="s">
        <v>233</v>
      </c>
      <c r="F121">
        <v>22</v>
      </c>
    </row>
    <row r="122" spans="1:6" x14ac:dyDescent="0.25">
      <c r="A122" t="s">
        <v>234</v>
      </c>
      <c r="B122">
        <v>36000</v>
      </c>
      <c r="E122" t="s">
        <v>234</v>
      </c>
      <c r="F122">
        <v>36000</v>
      </c>
    </row>
    <row r="123" spans="1:6" x14ac:dyDescent="0.25">
      <c r="A123" t="s">
        <v>235</v>
      </c>
      <c r="B123" s="1">
        <v>0.02</v>
      </c>
      <c r="E123" t="s">
        <v>235</v>
      </c>
      <c r="F123" s="1">
        <v>0.02</v>
      </c>
    </row>
    <row r="124" spans="1:6" x14ac:dyDescent="0.25">
      <c r="A124" t="s">
        <v>236</v>
      </c>
      <c r="B124" s="1">
        <v>0.05</v>
      </c>
      <c r="E124" t="s">
        <v>236</v>
      </c>
      <c r="F124" s="1">
        <v>0.03</v>
      </c>
    </row>
    <row r="125" spans="1:6" x14ac:dyDescent="0.25">
      <c r="A125" t="s">
        <v>237</v>
      </c>
      <c r="B125">
        <f>B119*(1-1/(1+B124)^B120)/B124</f>
        <v>344899.26587125013</v>
      </c>
      <c r="E125" t="s">
        <v>237</v>
      </c>
      <c r="F125">
        <f>F119*(1-1/(1+F124)^F120)/F124</f>
        <v>512152.04733070201</v>
      </c>
    </row>
    <row r="126" spans="1:6" x14ac:dyDescent="0.25">
      <c r="A126" t="s">
        <v>238</v>
      </c>
      <c r="B126">
        <f>B122*(1-(1+B123)^(B120-B121)/(1+B124)^(B120-B121))/(B124-B123)/(1+B124)^B121</f>
        <v>292273.58040932135</v>
      </c>
      <c r="E126" t="s">
        <v>238</v>
      </c>
      <c r="F126">
        <f>F122*(1-(1+F123)^(F120-F121)/(1+F124)^(F120-F121))/(F124-F123)/(1+F124)^F121</f>
        <v>643746.6776758004</v>
      </c>
    </row>
    <row r="127" spans="1:6" x14ac:dyDescent="0.25">
      <c r="A127" t="s">
        <v>38</v>
      </c>
      <c r="B127">
        <f>B126-B125</f>
        <v>-52625.685461928777</v>
      </c>
      <c r="E127" t="s">
        <v>38</v>
      </c>
      <c r="F127">
        <f>F126-F125</f>
        <v>131594.63034509838</v>
      </c>
    </row>
    <row r="129" spans="1:6" x14ac:dyDescent="0.25">
      <c r="A129" t="s">
        <v>239</v>
      </c>
      <c r="E129" t="s">
        <v>239</v>
      </c>
    </row>
    <row r="130" spans="1:6" x14ac:dyDescent="0.25">
      <c r="A130" t="s">
        <v>231</v>
      </c>
      <c r="B130">
        <v>18000</v>
      </c>
      <c r="E130" t="s">
        <v>231</v>
      </c>
      <c r="F130">
        <v>18000</v>
      </c>
    </row>
    <row r="131" spans="1:6" x14ac:dyDescent="0.25">
      <c r="A131" t="s">
        <v>232</v>
      </c>
      <c r="B131">
        <v>65</v>
      </c>
      <c r="E131" t="s">
        <v>232</v>
      </c>
      <c r="F131">
        <v>65</v>
      </c>
    </row>
    <row r="132" spans="1:6" x14ac:dyDescent="0.25">
      <c r="A132" t="s">
        <v>233</v>
      </c>
      <c r="B132">
        <v>25</v>
      </c>
      <c r="E132" t="s">
        <v>233</v>
      </c>
      <c r="F132">
        <v>25</v>
      </c>
    </row>
    <row r="133" spans="1:6" x14ac:dyDescent="0.25">
      <c r="A133" t="s">
        <v>234</v>
      </c>
      <c r="B133">
        <v>42000</v>
      </c>
      <c r="E133" t="s">
        <v>234</v>
      </c>
      <c r="F133">
        <v>42000</v>
      </c>
    </row>
    <row r="134" spans="1:6" x14ac:dyDescent="0.25">
      <c r="A134" t="s">
        <v>235</v>
      </c>
      <c r="B134" s="1">
        <v>0.02</v>
      </c>
      <c r="E134" t="s">
        <v>235</v>
      </c>
      <c r="F134" s="1">
        <v>0.02</v>
      </c>
    </row>
    <row r="135" spans="1:6" x14ac:dyDescent="0.25">
      <c r="A135" t="s">
        <v>236</v>
      </c>
      <c r="B135" s="1">
        <v>0.05</v>
      </c>
      <c r="E135" t="s">
        <v>236</v>
      </c>
      <c r="F135" s="1">
        <v>0.03</v>
      </c>
    </row>
    <row r="136" spans="1:6" x14ac:dyDescent="0.25">
      <c r="A136" t="s">
        <v>237</v>
      </c>
      <c r="B136">
        <f>B130*(1-1/(1+B135)^B131)/B135</f>
        <v>344899.26587125013</v>
      </c>
      <c r="E136" t="s">
        <v>237</v>
      </c>
      <c r="F136">
        <f>F130*(1-1/(1+F135)^F131)/F135</f>
        <v>512152.04733070201</v>
      </c>
    </row>
    <row r="137" spans="1:6" x14ac:dyDescent="0.25">
      <c r="A137" t="s">
        <v>238</v>
      </c>
      <c r="B137">
        <f>B133*(1-(1+B134)^(B131-B132)/(1+B135)^(B131-B132))/(B135-B134)/(1+B135)^B132</f>
        <v>283756.58074249199</v>
      </c>
      <c r="E137" t="s">
        <v>238</v>
      </c>
      <c r="F137">
        <f>F133*(1-(1+F134)^(F131-F132)/(1+F135)^(F131-F132))/(F135-F134)/(1+F135)^F132</f>
        <v>648141.04387077957</v>
      </c>
    </row>
    <row r="138" spans="1:6" x14ac:dyDescent="0.25">
      <c r="A138" t="s">
        <v>38</v>
      </c>
      <c r="B138">
        <f>B137-B136</f>
        <v>-61142.685128758138</v>
      </c>
      <c r="E138" t="s">
        <v>38</v>
      </c>
      <c r="F138">
        <f>F137-F136</f>
        <v>135988.99654007755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3"/>
  <sheetViews>
    <sheetView topLeftCell="A127" workbookViewId="0">
      <selection activeCell="D134" sqref="D134"/>
    </sheetView>
  </sheetViews>
  <sheetFormatPr defaultRowHeight="12.5" x14ac:dyDescent="0.25"/>
  <cols>
    <col min="1" max="1" width="32.1796875" customWidth="1"/>
    <col min="5" max="5" width="17" customWidth="1"/>
  </cols>
  <sheetData>
    <row r="1" spans="1:6" x14ac:dyDescent="0.25">
      <c r="A1" t="s">
        <v>53</v>
      </c>
    </row>
    <row r="2" spans="1:6" x14ac:dyDescent="0.25">
      <c r="A2" t="s">
        <v>138</v>
      </c>
    </row>
    <row r="5" spans="1:6" x14ac:dyDescent="0.25">
      <c r="A5" t="s">
        <v>109</v>
      </c>
      <c r="B5">
        <v>1</v>
      </c>
      <c r="C5" t="s">
        <v>79</v>
      </c>
      <c r="E5">
        <v>1</v>
      </c>
      <c r="F5" t="s">
        <v>79</v>
      </c>
    </row>
    <row r="7" spans="1:6" x14ac:dyDescent="0.25">
      <c r="A7" t="s">
        <v>111</v>
      </c>
      <c r="B7">
        <v>0.85</v>
      </c>
      <c r="C7">
        <f>1-B7</f>
        <v>0.15000000000000002</v>
      </c>
      <c r="E7">
        <v>0.85</v>
      </c>
      <c r="F7">
        <f>1-E7</f>
        <v>0.15000000000000002</v>
      </c>
    </row>
    <row r="8" spans="1:6" x14ac:dyDescent="0.25">
      <c r="A8" t="s">
        <v>110</v>
      </c>
      <c r="B8">
        <v>1.3</v>
      </c>
      <c r="C8">
        <v>0.7</v>
      </c>
      <c r="E8">
        <v>1.3</v>
      </c>
      <c r="F8">
        <v>0.7</v>
      </c>
    </row>
    <row r="9" spans="1:6" x14ac:dyDescent="0.25">
      <c r="A9" t="s">
        <v>112</v>
      </c>
      <c r="B9">
        <f>B7*B8+C7*C8</f>
        <v>1.21</v>
      </c>
      <c r="E9">
        <f>E7*E8+F7*F8</f>
        <v>1.21</v>
      </c>
    </row>
    <row r="11" spans="1:6" x14ac:dyDescent="0.25">
      <c r="A11" t="s">
        <v>128</v>
      </c>
      <c r="B11" s="1">
        <v>0.03</v>
      </c>
      <c r="E11" s="1">
        <v>0.03</v>
      </c>
    </row>
    <row r="12" spans="1:6" x14ac:dyDescent="0.25">
      <c r="A12" t="s">
        <v>113</v>
      </c>
      <c r="B12" s="1">
        <v>0.65</v>
      </c>
      <c r="E12" s="1">
        <v>0.85</v>
      </c>
    </row>
    <row r="13" spans="1:6" x14ac:dyDescent="0.25">
      <c r="A13" t="s">
        <v>117</v>
      </c>
      <c r="B13" s="1">
        <v>0.02</v>
      </c>
      <c r="E13" s="1">
        <v>0.02</v>
      </c>
    </row>
    <row r="14" spans="1:6" x14ac:dyDescent="0.25">
      <c r="A14" t="s">
        <v>114</v>
      </c>
      <c r="B14" s="2">
        <v>0.155</v>
      </c>
      <c r="E14" s="2">
        <v>0.13029411764705903</v>
      </c>
    </row>
    <row r="15" spans="1:6" x14ac:dyDescent="0.25">
      <c r="A15" t="s">
        <v>115</v>
      </c>
      <c r="B15">
        <f>B5*(1+B14)*B7+C8*B12*C7</f>
        <v>1.05</v>
      </c>
      <c r="E15">
        <f>E5*(1+E14)*E7+F8*E12*F7</f>
        <v>1.0500000000000003</v>
      </c>
    </row>
    <row r="16" spans="1:6" x14ac:dyDescent="0.25">
      <c r="A16" t="s">
        <v>139</v>
      </c>
      <c r="B16">
        <f>(B8-B5*(1+B14))*B7</f>
        <v>0.12325000000000001</v>
      </c>
      <c r="E16">
        <f>(E8-E5*(1+E14))*E7</f>
        <v>0.1442499999999998</v>
      </c>
    </row>
    <row r="18" spans="1:6" x14ac:dyDescent="0.25">
      <c r="A18" t="s">
        <v>52</v>
      </c>
    </row>
    <row r="19" spans="1:6" x14ac:dyDescent="0.25">
      <c r="A19" t="s">
        <v>140</v>
      </c>
    </row>
    <row r="21" spans="1:6" x14ac:dyDescent="0.25">
      <c r="A21" t="s">
        <v>125</v>
      </c>
      <c r="B21">
        <v>1</v>
      </c>
      <c r="C21" t="s">
        <v>79</v>
      </c>
      <c r="E21">
        <v>1</v>
      </c>
      <c r="F21" t="s">
        <v>79</v>
      </c>
    </row>
    <row r="22" spans="1:6" x14ac:dyDescent="0.25">
      <c r="A22" t="s">
        <v>126</v>
      </c>
      <c r="B22">
        <v>0.2</v>
      </c>
      <c r="E22">
        <v>0.3</v>
      </c>
    </row>
    <row r="23" spans="1:6" x14ac:dyDescent="0.25">
      <c r="A23" t="s">
        <v>109</v>
      </c>
      <c r="B23">
        <f>B21-B22</f>
        <v>0.8</v>
      </c>
      <c r="E23">
        <f>E21-E22</f>
        <v>0.7</v>
      </c>
    </row>
    <row r="24" spans="1:6" x14ac:dyDescent="0.25">
      <c r="A24" t="s">
        <v>128</v>
      </c>
      <c r="B24" s="2">
        <v>1.4999999999999999E-2</v>
      </c>
      <c r="E24" s="2">
        <v>1.4999999999999999E-2</v>
      </c>
    </row>
    <row r="26" spans="1:6" x14ac:dyDescent="0.25">
      <c r="A26" t="s">
        <v>111</v>
      </c>
      <c r="B26">
        <v>0.85</v>
      </c>
      <c r="C26">
        <f>1-B26</f>
        <v>0.15000000000000002</v>
      </c>
      <c r="E26">
        <v>0.85</v>
      </c>
      <c r="F26">
        <f>1-E26</f>
        <v>0.15000000000000002</v>
      </c>
    </row>
    <row r="27" spans="1:6" x14ac:dyDescent="0.25">
      <c r="A27" t="s">
        <v>110</v>
      </c>
      <c r="B27">
        <v>1.4</v>
      </c>
      <c r="C27">
        <v>0.7</v>
      </c>
      <c r="E27">
        <v>1.4</v>
      </c>
      <c r="F27">
        <v>0.7</v>
      </c>
    </row>
    <row r="28" spans="1:6" x14ac:dyDescent="0.25">
      <c r="A28" t="s">
        <v>112</v>
      </c>
      <c r="B28">
        <f>B26*B27+C26*C27</f>
        <v>1.2949999999999999</v>
      </c>
      <c r="E28">
        <f>E26*E27+F26*F27</f>
        <v>1.2949999999999999</v>
      </c>
    </row>
    <row r="30" spans="1:6" x14ac:dyDescent="0.25">
      <c r="A30" t="s">
        <v>113</v>
      </c>
      <c r="B30" s="1">
        <v>0.7</v>
      </c>
      <c r="E30" s="1">
        <v>0.7</v>
      </c>
    </row>
    <row r="31" spans="1:6" x14ac:dyDescent="0.25">
      <c r="A31" t="s">
        <v>117</v>
      </c>
      <c r="B31" s="1">
        <v>0.02</v>
      </c>
      <c r="E31" s="1">
        <v>0.02</v>
      </c>
    </row>
    <row r="32" spans="1:6" x14ac:dyDescent="0.25">
      <c r="A32" t="s">
        <v>116</v>
      </c>
      <c r="B32" s="6">
        <f>B23*(1+B24+B31)</f>
        <v>0.82799999999999996</v>
      </c>
      <c r="E32" s="4">
        <f>E23*(1+E24+E31)</f>
        <v>0.72449999999999992</v>
      </c>
    </row>
    <row r="33" spans="1:5" x14ac:dyDescent="0.25">
      <c r="A33" t="s">
        <v>114</v>
      </c>
      <c r="B33" s="2">
        <f>(B32-C27*B30*C26)/(B23*B26)-1</f>
        <v>0.1095588235294116</v>
      </c>
      <c r="E33" s="2">
        <f>(E32-F27*E30*F26)/(E23*E26)-1</f>
        <v>9.4117647058823417E-2</v>
      </c>
    </row>
    <row r="36" spans="1:5" x14ac:dyDescent="0.25">
      <c r="A36" s="8" t="s">
        <v>170</v>
      </c>
    </row>
    <row r="38" spans="1:5" x14ac:dyDescent="0.25">
      <c r="A38" s="8" t="s">
        <v>160</v>
      </c>
      <c r="B38">
        <v>0.55000000000000004</v>
      </c>
      <c r="C38">
        <v>0.55000000000000004</v>
      </c>
    </row>
    <row r="39" spans="1:5" x14ac:dyDescent="0.25">
      <c r="A39" s="8" t="s">
        <v>161</v>
      </c>
      <c r="B39">
        <f>1-B38</f>
        <v>0.44999999999999996</v>
      </c>
      <c r="C39">
        <f>1-C38</f>
        <v>0.44999999999999996</v>
      </c>
    </row>
    <row r="40" spans="1:5" x14ac:dyDescent="0.25">
      <c r="A40" s="8" t="s">
        <v>162</v>
      </c>
      <c r="B40">
        <v>0.2</v>
      </c>
      <c r="C40">
        <v>0.3</v>
      </c>
    </row>
    <row r="41" spans="1:5" x14ac:dyDescent="0.25">
      <c r="A41" s="8" t="s">
        <v>163</v>
      </c>
      <c r="B41">
        <f>EXP(B40)</f>
        <v>1.2214027581601699</v>
      </c>
      <c r="C41">
        <f>EXP(C40)</f>
        <v>1.3498588075760032</v>
      </c>
    </row>
    <row r="42" spans="1:5" x14ac:dyDescent="0.25">
      <c r="A42" s="8" t="s">
        <v>164</v>
      </c>
      <c r="B42">
        <f>EXP(-B40)</f>
        <v>0.81873075307798182</v>
      </c>
      <c r="C42">
        <f>EXP(-C40)</f>
        <v>0.74081822068171788</v>
      </c>
    </row>
    <row r="43" spans="1:5" x14ac:dyDescent="0.25">
      <c r="A43" s="8" t="s">
        <v>165</v>
      </c>
      <c r="B43">
        <f>3%</f>
        <v>0.03</v>
      </c>
      <c r="C43">
        <f>3%</f>
        <v>0.03</v>
      </c>
    </row>
    <row r="44" spans="1:5" x14ac:dyDescent="0.25">
      <c r="A44" s="8" t="s">
        <v>166</v>
      </c>
      <c r="B44" s="2">
        <v>0.02</v>
      </c>
      <c r="C44" s="2">
        <v>0.02</v>
      </c>
    </row>
    <row r="45" spans="1:5" x14ac:dyDescent="0.25">
      <c r="A45" s="8" t="s">
        <v>167</v>
      </c>
      <c r="B45" s="1">
        <v>0.2</v>
      </c>
      <c r="C45" s="1">
        <v>0.2</v>
      </c>
    </row>
    <row r="46" spans="1:5" x14ac:dyDescent="0.25">
      <c r="A46" s="8" t="s">
        <v>168</v>
      </c>
      <c r="B46">
        <f>((1-B45)*(1+B43+B44)-B42*B39)/((1-B45)*B38)-1</f>
        <v>7.1752638897518706E-2</v>
      </c>
      <c r="C46">
        <f>((1-C45)*(1+C43+C44)-C42*C39)/((1-C45)*C38)-1</f>
        <v>0.15143591066642514</v>
      </c>
    </row>
    <row r="49" spans="1:12" x14ac:dyDescent="0.25">
      <c r="A49" s="8" t="s">
        <v>76</v>
      </c>
    </row>
    <row r="50" spans="1:12" x14ac:dyDescent="0.25">
      <c r="B50">
        <v>0</v>
      </c>
      <c r="C50">
        <v>1</v>
      </c>
      <c r="D50">
        <v>2</v>
      </c>
      <c r="E50">
        <v>3</v>
      </c>
      <c r="F50">
        <v>4</v>
      </c>
      <c r="G50">
        <v>5</v>
      </c>
      <c r="H50">
        <v>6</v>
      </c>
      <c r="I50">
        <v>7</v>
      </c>
      <c r="J50">
        <v>8</v>
      </c>
      <c r="K50">
        <v>9</v>
      </c>
      <c r="L50">
        <v>10</v>
      </c>
    </row>
    <row r="51" spans="1:12" x14ac:dyDescent="0.25">
      <c r="A51" s="8" t="s">
        <v>36</v>
      </c>
      <c r="B51">
        <v>-10</v>
      </c>
      <c r="C51">
        <v>3</v>
      </c>
      <c r="D51">
        <v>3</v>
      </c>
      <c r="E51">
        <v>3</v>
      </c>
      <c r="F51">
        <v>3</v>
      </c>
      <c r="G51">
        <v>3</v>
      </c>
      <c r="H51">
        <v>3</v>
      </c>
      <c r="I51">
        <v>3</v>
      </c>
      <c r="J51">
        <v>3</v>
      </c>
      <c r="K51">
        <v>3</v>
      </c>
      <c r="L51">
        <v>3</v>
      </c>
    </row>
    <row r="52" spans="1:12" x14ac:dyDescent="0.25">
      <c r="A52" t="s">
        <v>37</v>
      </c>
      <c r="B52" s="1">
        <v>0.12</v>
      </c>
    </row>
    <row r="53" spans="1:12" x14ac:dyDescent="0.25">
      <c r="A53" t="s">
        <v>39</v>
      </c>
      <c r="B53">
        <f>B51/(1+$B52)^B50</f>
        <v>-10</v>
      </c>
      <c r="C53">
        <f t="shared" ref="C53:L53" si="0">C51/(1+$B52)^C50</f>
        <v>2.6785714285714284</v>
      </c>
      <c r="D53">
        <f t="shared" si="0"/>
        <v>2.391581632653061</v>
      </c>
      <c r="E53">
        <f t="shared" si="0"/>
        <v>2.1353407434402327</v>
      </c>
      <c r="F53">
        <f t="shared" si="0"/>
        <v>1.9065542352144935</v>
      </c>
      <c r="G53">
        <f t="shared" si="0"/>
        <v>1.7022805671557977</v>
      </c>
      <c r="H53">
        <f t="shared" si="0"/>
        <v>1.519893363531962</v>
      </c>
      <c r="I53">
        <f t="shared" si="0"/>
        <v>1.3570476460106804</v>
      </c>
      <c r="J53">
        <f t="shared" si="0"/>
        <v>1.2116496839381075</v>
      </c>
      <c r="K53">
        <f t="shared" si="0"/>
        <v>1.0818300749447387</v>
      </c>
      <c r="L53">
        <f t="shared" si="0"/>
        <v>0.96591970977208796</v>
      </c>
    </row>
    <row r="54" spans="1:12" x14ac:dyDescent="0.25">
      <c r="A54" t="s">
        <v>38</v>
      </c>
      <c r="B54">
        <f>SUM(B53:L53)</f>
        <v>6.9506690852325894</v>
      </c>
    </row>
    <row r="56" spans="1:12" x14ac:dyDescent="0.25">
      <c r="A56" t="s">
        <v>40</v>
      </c>
      <c r="B56" s="1">
        <v>0.1</v>
      </c>
    </row>
    <row r="57" spans="1:12" x14ac:dyDescent="0.25">
      <c r="A57" t="s">
        <v>36</v>
      </c>
      <c r="B57">
        <v>-20</v>
      </c>
      <c r="C57">
        <v>3</v>
      </c>
      <c r="D57">
        <f>C57*(1+$B56)</f>
        <v>3.3000000000000003</v>
      </c>
      <c r="E57">
        <f t="shared" ref="E57:L57" si="1">D57*(1+$B56)</f>
        <v>3.6300000000000008</v>
      </c>
      <c r="F57">
        <f t="shared" si="1"/>
        <v>3.9930000000000012</v>
      </c>
      <c r="G57">
        <f t="shared" si="1"/>
        <v>4.3923000000000014</v>
      </c>
      <c r="H57">
        <f t="shared" si="1"/>
        <v>4.8315300000000017</v>
      </c>
      <c r="I57">
        <f t="shared" si="1"/>
        <v>5.3146830000000023</v>
      </c>
      <c r="J57">
        <f t="shared" si="1"/>
        <v>5.8461513000000034</v>
      </c>
      <c r="K57">
        <f t="shared" si="1"/>
        <v>6.4307664300000038</v>
      </c>
      <c r="L57">
        <f t="shared" si="1"/>
        <v>7.0738430730000044</v>
      </c>
    </row>
    <row r="58" spans="1:12" x14ac:dyDescent="0.25">
      <c r="A58" t="s">
        <v>37</v>
      </c>
      <c r="B58" s="1">
        <v>0.12</v>
      </c>
    </row>
    <row r="59" spans="1:12" x14ac:dyDescent="0.25">
      <c r="A59" t="s">
        <v>39</v>
      </c>
      <c r="B59">
        <f>B57/(1+$B58)^B50</f>
        <v>-20</v>
      </c>
      <c r="C59">
        <f t="shared" ref="C59:L59" si="2">C57/(1+$B58)^C50</f>
        <v>2.6785714285714284</v>
      </c>
      <c r="D59">
        <f t="shared" si="2"/>
        <v>2.6307397959183674</v>
      </c>
      <c r="E59">
        <f t="shared" si="2"/>
        <v>2.5837622995626819</v>
      </c>
      <c r="F59">
        <f t="shared" si="2"/>
        <v>2.5376236870704916</v>
      </c>
      <c r="G59">
        <f t="shared" si="2"/>
        <v>2.4923089783728041</v>
      </c>
      <c r="H59">
        <f t="shared" si="2"/>
        <v>2.4478034609018611</v>
      </c>
      <c r="I59">
        <f t="shared" si="2"/>
        <v>2.4040926848143278</v>
      </c>
      <c r="J59">
        <f t="shared" si="2"/>
        <v>2.3611624582997863</v>
      </c>
      <c r="K59">
        <f t="shared" si="2"/>
        <v>2.3189988429730044</v>
      </c>
      <c r="L59">
        <f t="shared" si="2"/>
        <v>2.2775881493484866</v>
      </c>
    </row>
    <row r="60" spans="1:12" x14ac:dyDescent="0.25">
      <c r="A60" t="s">
        <v>38</v>
      </c>
      <c r="B60">
        <f>SUM(B59:L59)</f>
        <v>4.7326517858332391</v>
      </c>
    </row>
    <row r="62" spans="1:12" x14ac:dyDescent="0.25">
      <c r="B62">
        <v>0</v>
      </c>
      <c r="C62">
        <v>1</v>
      </c>
      <c r="D62">
        <v>2</v>
      </c>
      <c r="E62">
        <v>3</v>
      </c>
      <c r="F62">
        <v>4</v>
      </c>
      <c r="G62">
        <v>5</v>
      </c>
      <c r="H62">
        <v>6</v>
      </c>
      <c r="I62">
        <v>7</v>
      </c>
      <c r="J62">
        <v>8</v>
      </c>
      <c r="K62">
        <v>9</v>
      </c>
      <c r="L62">
        <v>10</v>
      </c>
    </row>
    <row r="63" spans="1:12" x14ac:dyDescent="0.25">
      <c r="A63" t="s">
        <v>36</v>
      </c>
      <c r="B63">
        <v>-10</v>
      </c>
      <c r="C63">
        <v>3</v>
      </c>
      <c r="D63">
        <v>3</v>
      </c>
      <c r="E63">
        <v>3</v>
      </c>
      <c r="F63">
        <v>3</v>
      </c>
      <c r="G63">
        <v>3</v>
      </c>
      <c r="H63">
        <v>3</v>
      </c>
      <c r="I63">
        <v>3</v>
      </c>
      <c r="J63">
        <v>3</v>
      </c>
      <c r="K63">
        <v>3</v>
      </c>
      <c r="L63">
        <v>3</v>
      </c>
    </row>
    <row r="64" spans="1:12" x14ac:dyDescent="0.25">
      <c r="A64" t="s">
        <v>37</v>
      </c>
      <c r="B64" s="1">
        <v>0.05</v>
      </c>
    </row>
    <row r="65" spans="1:12" x14ac:dyDescent="0.25">
      <c r="A65" t="s">
        <v>39</v>
      </c>
      <c r="B65">
        <f>B63/(1+$B64)^B50</f>
        <v>-10</v>
      </c>
      <c r="C65">
        <f t="shared" ref="C65:L65" si="3">C63/(1+$B64)^C50</f>
        <v>2.8571428571428572</v>
      </c>
      <c r="D65">
        <f t="shared" si="3"/>
        <v>2.7210884353741496</v>
      </c>
      <c r="E65">
        <f t="shared" si="3"/>
        <v>2.5915127955944279</v>
      </c>
      <c r="F65">
        <f t="shared" si="3"/>
        <v>2.468107424375646</v>
      </c>
      <c r="G65">
        <f t="shared" si="3"/>
        <v>2.3505784994053767</v>
      </c>
      <c r="H65">
        <f t="shared" si="3"/>
        <v>2.2386461899098831</v>
      </c>
      <c r="I65">
        <f t="shared" si="3"/>
        <v>2.1320439903903643</v>
      </c>
      <c r="J65">
        <f t="shared" si="3"/>
        <v>2.0305180860860617</v>
      </c>
      <c r="K65">
        <f t="shared" si="3"/>
        <v>1.9338267486533918</v>
      </c>
      <c r="L65">
        <f t="shared" si="3"/>
        <v>1.8417397606222778</v>
      </c>
    </row>
    <row r="66" spans="1:12" x14ac:dyDescent="0.25">
      <c r="A66" t="s">
        <v>38</v>
      </c>
      <c r="B66">
        <f>SUM(B65:L65)</f>
        <v>13.165204787554437</v>
      </c>
    </row>
    <row r="68" spans="1:12" x14ac:dyDescent="0.25">
      <c r="A68" t="s">
        <v>40</v>
      </c>
      <c r="B68" s="1">
        <v>0.1</v>
      </c>
    </row>
    <row r="69" spans="1:12" x14ac:dyDescent="0.25">
      <c r="A69" t="s">
        <v>36</v>
      </c>
      <c r="B69">
        <v>-20</v>
      </c>
      <c r="C69">
        <v>3</v>
      </c>
      <c r="D69">
        <f t="shared" ref="D69:L69" si="4">C69*(1+$B68)</f>
        <v>3.3000000000000003</v>
      </c>
      <c r="E69">
        <f t="shared" si="4"/>
        <v>3.6300000000000008</v>
      </c>
      <c r="F69">
        <f t="shared" si="4"/>
        <v>3.9930000000000012</v>
      </c>
      <c r="G69">
        <f t="shared" si="4"/>
        <v>4.3923000000000014</v>
      </c>
      <c r="H69">
        <f t="shared" si="4"/>
        <v>4.8315300000000017</v>
      </c>
      <c r="I69">
        <f t="shared" si="4"/>
        <v>5.3146830000000023</v>
      </c>
      <c r="J69">
        <f t="shared" si="4"/>
        <v>5.8461513000000034</v>
      </c>
      <c r="K69">
        <f t="shared" si="4"/>
        <v>6.4307664300000038</v>
      </c>
      <c r="L69">
        <f t="shared" si="4"/>
        <v>7.0738430730000044</v>
      </c>
    </row>
    <row r="70" spans="1:12" x14ac:dyDescent="0.25">
      <c r="A70" t="s">
        <v>37</v>
      </c>
      <c r="B70" s="1">
        <v>0.05</v>
      </c>
    </row>
    <row r="71" spans="1:12" x14ac:dyDescent="0.25">
      <c r="A71" t="s">
        <v>39</v>
      </c>
      <c r="B71">
        <f>B69/(1+$B70)^B50</f>
        <v>-20</v>
      </c>
      <c r="C71">
        <f t="shared" ref="C71:L71" si="5">C69/(1+$B70)^C50</f>
        <v>2.8571428571428572</v>
      </c>
      <c r="D71">
        <f t="shared" si="5"/>
        <v>2.9931972789115648</v>
      </c>
      <c r="E71">
        <f t="shared" si="5"/>
        <v>3.1357304826692585</v>
      </c>
      <c r="F71">
        <f t="shared" si="5"/>
        <v>3.2850509818439857</v>
      </c>
      <c r="G71">
        <f t="shared" si="5"/>
        <v>3.4414819809794133</v>
      </c>
      <c r="H71">
        <f t="shared" si="5"/>
        <v>3.605362075311767</v>
      </c>
      <c r="I71">
        <f t="shared" si="5"/>
        <v>3.7770459836599457</v>
      </c>
      <c r="J71">
        <f t="shared" si="5"/>
        <v>3.9569053162151824</v>
      </c>
      <c r="K71">
        <f t="shared" si="5"/>
        <v>4.1453293788920957</v>
      </c>
      <c r="L71">
        <f t="shared" si="5"/>
        <v>4.3427260159821959</v>
      </c>
    </row>
    <row r="72" spans="1:12" x14ac:dyDescent="0.25">
      <c r="B72">
        <f>SUM(B71:L71)</f>
        <v>15.539972351608265</v>
      </c>
    </row>
    <row r="75" spans="1:12" x14ac:dyDescent="0.25">
      <c r="B75">
        <v>0</v>
      </c>
      <c r="C75">
        <v>1</v>
      </c>
      <c r="D75">
        <v>2</v>
      </c>
      <c r="E75">
        <v>3</v>
      </c>
      <c r="F75">
        <v>4</v>
      </c>
      <c r="G75">
        <v>5</v>
      </c>
      <c r="H75">
        <v>6</v>
      </c>
      <c r="I75">
        <v>7</v>
      </c>
      <c r="J75">
        <v>8</v>
      </c>
      <c r="K75">
        <v>9</v>
      </c>
      <c r="L75">
        <v>10</v>
      </c>
    </row>
    <row r="76" spans="1:12" x14ac:dyDescent="0.25">
      <c r="A76" t="s">
        <v>36</v>
      </c>
      <c r="B76">
        <v>-10</v>
      </c>
      <c r="C76">
        <v>3</v>
      </c>
      <c r="D76">
        <v>3</v>
      </c>
      <c r="E76">
        <v>3</v>
      </c>
      <c r="F76">
        <v>3</v>
      </c>
      <c r="G76">
        <v>3</v>
      </c>
      <c r="H76">
        <v>0</v>
      </c>
      <c r="I76">
        <v>0</v>
      </c>
      <c r="J76">
        <v>0</v>
      </c>
      <c r="K76">
        <v>0</v>
      </c>
      <c r="L76">
        <v>0</v>
      </c>
    </row>
    <row r="77" spans="1:12" x14ac:dyDescent="0.25">
      <c r="A77" t="s">
        <v>37</v>
      </c>
      <c r="B77" s="1">
        <v>0.12</v>
      </c>
    </row>
    <row r="78" spans="1:12" x14ac:dyDescent="0.25">
      <c r="A78" t="s">
        <v>39</v>
      </c>
      <c r="B78">
        <f>B76/(1+$B77)^B75</f>
        <v>-10</v>
      </c>
      <c r="C78">
        <f t="shared" ref="C78:L78" si="6">C76/(1+$B77)^C75</f>
        <v>2.6785714285714284</v>
      </c>
      <c r="D78">
        <f t="shared" si="6"/>
        <v>2.391581632653061</v>
      </c>
      <c r="E78">
        <f t="shared" si="6"/>
        <v>2.1353407434402327</v>
      </c>
      <c r="F78">
        <f t="shared" si="6"/>
        <v>1.9065542352144935</v>
      </c>
      <c r="G78">
        <f t="shared" si="6"/>
        <v>1.7022805671557977</v>
      </c>
      <c r="H78">
        <f t="shared" si="6"/>
        <v>0</v>
      </c>
      <c r="I78">
        <f t="shared" si="6"/>
        <v>0</v>
      </c>
      <c r="J78">
        <f t="shared" si="6"/>
        <v>0</v>
      </c>
      <c r="K78">
        <f t="shared" si="6"/>
        <v>0</v>
      </c>
      <c r="L78">
        <f t="shared" si="6"/>
        <v>0</v>
      </c>
    </row>
    <row r="79" spans="1:12" x14ac:dyDescent="0.25">
      <c r="A79" t="s">
        <v>38</v>
      </c>
      <c r="B79">
        <f>SUM(B78:L78)</f>
        <v>0.81432860703501375</v>
      </c>
    </row>
    <row r="81" spans="1:12" x14ac:dyDescent="0.25">
      <c r="A81" t="s">
        <v>40</v>
      </c>
      <c r="B81" s="1">
        <v>0.1</v>
      </c>
    </row>
    <row r="82" spans="1:12" x14ac:dyDescent="0.25">
      <c r="A82" t="s">
        <v>36</v>
      </c>
      <c r="B82">
        <v>-20</v>
      </c>
      <c r="C82">
        <v>3</v>
      </c>
      <c r="D82">
        <f>C82*(1+$B81)</f>
        <v>3.3000000000000003</v>
      </c>
      <c r="E82">
        <f t="shared" ref="E82:L82" si="7">D82*(1+$B81)</f>
        <v>3.6300000000000008</v>
      </c>
      <c r="F82">
        <f t="shared" si="7"/>
        <v>3.9930000000000012</v>
      </c>
      <c r="G82">
        <f t="shared" si="7"/>
        <v>4.3923000000000014</v>
      </c>
      <c r="H82">
        <v>0</v>
      </c>
      <c r="I82">
        <f t="shared" si="7"/>
        <v>0</v>
      </c>
      <c r="J82">
        <f t="shared" si="7"/>
        <v>0</v>
      </c>
      <c r="K82">
        <f t="shared" si="7"/>
        <v>0</v>
      </c>
      <c r="L82">
        <f t="shared" si="7"/>
        <v>0</v>
      </c>
    </row>
    <row r="83" spans="1:12" x14ac:dyDescent="0.25">
      <c r="A83" t="s">
        <v>37</v>
      </c>
      <c r="B83" s="1">
        <v>0.12</v>
      </c>
    </row>
    <row r="84" spans="1:12" x14ac:dyDescent="0.25">
      <c r="A84" t="s">
        <v>39</v>
      </c>
      <c r="B84">
        <f>B82/(1+$B83)^B75</f>
        <v>-20</v>
      </c>
      <c r="C84">
        <f t="shared" ref="C84:L84" si="8">C82/(1+$B83)^C75</f>
        <v>2.6785714285714284</v>
      </c>
      <c r="D84">
        <f t="shared" si="8"/>
        <v>2.6307397959183674</v>
      </c>
      <c r="E84">
        <f t="shared" si="8"/>
        <v>2.5837622995626819</v>
      </c>
      <c r="F84">
        <f t="shared" si="8"/>
        <v>2.5376236870704916</v>
      </c>
      <c r="G84">
        <f t="shared" si="8"/>
        <v>2.4923089783728041</v>
      </c>
      <c r="H84">
        <f t="shared" si="8"/>
        <v>0</v>
      </c>
      <c r="I84">
        <f t="shared" si="8"/>
        <v>0</v>
      </c>
      <c r="J84">
        <f t="shared" si="8"/>
        <v>0</v>
      </c>
      <c r="K84">
        <f t="shared" si="8"/>
        <v>0</v>
      </c>
      <c r="L84">
        <f t="shared" si="8"/>
        <v>0</v>
      </c>
    </row>
    <row r="85" spans="1:12" x14ac:dyDescent="0.25">
      <c r="A85" t="s">
        <v>38</v>
      </c>
      <c r="B85">
        <f>SUM(B84:L84)</f>
        <v>-7.0769938105042272</v>
      </c>
    </row>
    <row r="87" spans="1:12" x14ac:dyDescent="0.25">
      <c r="B87">
        <v>0</v>
      </c>
      <c r="C87">
        <v>1</v>
      </c>
      <c r="D87">
        <v>2</v>
      </c>
      <c r="E87">
        <v>3</v>
      </c>
      <c r="F87">
        <v>4</v>
      </c>
      <c r="G87">
        <v>5</v>
      </c>
      <c r="H87">
        <v>6</v>
      </c>
      <c r="I87">
        <v>7</v>
      </c>
      <c r="J87">
        <v>8</v>
      </c>
      <c r="K87">
        <v>9</v>
      </c>
      <c r="L87">
        <v>10</v>
      </c>
    </row>
    <row r="88" spans="1:12" x14ac:dyDescent="0.25">
      <c r="A88" t="s">
        <v>36</v>
      </c>
      <c r="B88">
        <v>-10</v>
      </c>
      <c r="C88">
        <v>3</v>
      </c>
      <c r="D88">
        <v>3</v>
      </c>
      <c r="E88">
        <v>3</v>
      </c>
      <c r="F88">
        <v>3</v>
      </c>
      <c r="G88">
        <v>3</v>
      </c>
      <c r="H88">
        <v>0</v>
      </c>
      <c r="I88">
        <v>0</v>
      </c>
      <c r="J88">
        <v>0</v>
      </c>
      <c r="K88">
        <v>0</v>
      </c>
      <c r="L88">
        <v>0</v>
      </c>
    </row>
    <row r="89" spans="1:12" x14ac:dyDescent="0.25">
      <c r="A89" t="s">
        <v>37</v>
      </c>
      <c r="B89" s="1">
        <v>0.05</v>
      </c>
    </row>
    <row r="90" spans="1:12" x14ac:dyDescent="0.25">
      <c r="A90" t="s">
        <v>39</v>
      </c>
      <c r="B90">
        <f>B88/(1+$B89)^B75</f>
        <v>-10</v>
      </c>
      <c r="C90">
        <f t="shared" ref="C90:L90" si="9">C88/(1+$B89)^C75</f>
        <v>2.8571428571428572</v>
      </c>
      <c r="D90">
        <f t="shared" si="9"/>
        <v>2.7210884353741496</v>
      </c>
      <c r="E90">
        <f t="shared" si="9"/>
        <v>2.5915127955944279</v>
      </c>
      <c r="F90">
        <f t="shared" si="9"/>
        <v>2.468107424375646</v>
      </c>
      <c r="G90">
        <f t="shared" si="9"/>
        <v>2.3505784994053767</v>
      </c>
      <c r="H90">
        <f t="shared" si="9"/>
        <v>0</v>
      </c>
      <c r="I90">
        <f t="shared" si="9"/>
        <v>0</v>
      </c>
      <c r="J90">
        <f t="shared" si="9"/>
        <v>0</v>
      </c>
      <c r="K90">
        <f t="shared" si="9"/>
        <v>0</v>
      </c>
      <c r="L90">
        <f t="shared" si="9"/>
        <v>0</v>
      </c>
    </row>
    <row r="91" spans="1:12" x14ac:dyDescent="0.25">
      <c r="A91" t="s">
        <v>38</v>
      </c>
      <c r="B91">
        <f>SUM(B90:L90)</f>
        <v>2.9884300118924574</v>
      </c>
    </row>
    <row r="93" spans="1:12" x14ac:dyDescent="0.25">
      <c r="A93" t="s">
        <v>40</v>
      </c>
      <c r="B93" s="1">
        <v>0.1</v>
      </c>
    </row>
    <row r="94" spans="1:12" x14ac:dyDescent="0.25">
      <c r="A94" t="s">
        <v>36</v>
      </c>
      <c r="B94">
        <v>-20</v>
      </c>
      <c r="C94">
        <v>3</v>
      </c>
      <c r="D94">
        <f t="shared" ref="D94:L94" si="10">C94*(1+$B93)</f>
        <v>3.3000000000000003</v>
      </c>
      <c r="E94">
        <f t="shared" si="10"/>
        <v>3.6300000000000008</v>
      </c>
      <c r="F94">
        <f t="shared" si="10"/>
        <v>3.9930000000000012</v>
      </c>
      <c r="G94">
        <f t="shared" si="10"/>
        <v>4.3923000000000014</v>
      </c>
      <c r="H94">
        <v>0</v>
      </c>
      <c r="I94">
        <f t="shared" si="10"/>
        <v>0</v>
      </c>
      <c r="J94">
        <f t="shared" si="10"/>
        <v>0</v>
      </c>
      <c r="K94">
        <f t="shared" si="10"/>
        <v>0</v>
      </c>
      <c r="L94">
        <f t="shared" si="10"/>
        <v>0</v>
      </c>
    </row>
    <row r="95" spans="1:12" x14ac:dyDescent="0.25">
      <c r="A95" t="s">
        <v>37</v>
      </c>
      <c r="B95" s="1">
        <v>0.05</v>
      </c>
    </row>
    <row r="96" spans="1:12" x14ac:dyDescent="0.25">
      <c r="A96" t="s">
        <v>39</v>
      </c>
      <c r="B96">
        <f>B94/(1+$B95)^B75</f>
        <v>-20</v>
      </c>
      <c r="C96">
        <f t="shared" ref="C96:L96" si="11">C94/(1+$B95)^C75</f>
        <v>2.8571428571428572</v>
      </c>
      <c r="D96">
        <f t="shared" si="11"/>
        <v>2.9931972789115648</v>
      </c>
      <c r="E96">
        <f t="shared" si="11"/>
        <v>3.1357304826692585</v>
      </c>
      <c r="F96">
        <f t="shared" si="11"/>
        <v>3.2850509818439857</v>
      </c>
      <c r="G96">
        <f t="shared" si="11"/>
        <v>3.4414819809794133</v>
      </c>
      <c r="H96">
        <f t="shared" si="11"/>
        <v>0</v>
      </c>
      <c r="I96">
        <f t="shared" si="11"/>
        <v>0</v>
      </c>
      <c r="J96">
        <f t="shared" si="11"/>
        <v>0</v>
      </c>
      <c r="K96">
        <f t="shared" si="11"/>
        <v>0</v>
      </c>
      <c r="L96">
        <f t="shared" si="11"/>
        <v>0</v>
      </c>
    </row>
    <row r="97" spans="1:2" x14ac:dyDescent="0.25">
      <c r="A97" t="s">
        <v>38</v>
      </c>
      <c r="B97">
        <f>SUM(B96:L96)</f>
        <v>-4.2873964184529214</v>
      </c>
    </row>
    <row r="100" spans="1:2" x14ac:dyDescent="0.25">
      <c r="A100" t="s">
        <v>133</v>
      </c>
    </row>
    <row r="101" spans="1:2" x14ac:dyDescent="0.25">
      <c r="A101" t="s">
        <v>176</v>
      </c>
    </row>
    <row r="102" spans="1:2" x14ac:dyDescent="0.25">
      <c r="A102" t="s">
        <v>114</v>
      </c>
      <c r="B102" s="2">
        <v>0.13839569730576176</v>
      </c>
    </row>
    <row r="103" spans="1:2" x14ac:dyDescent="0.25">
      <c r="A103" t="s">
        <v>177</v>
      </c>
      <c r="B103">
        <f>0.85*10*(1+B102)*0.65</f>
        <v>6.2896362276143343</v>
      </c>
    </row>
    <row r="104" spans="1:2" x14ac:dyDescent="0.25">
      <c r="A104" t="s">
        <v>178</v>
      </c>
      <c r="B104">
        <f>10*EXP(-0.3)*0.35</f>
        <v>2.5928637723860124</v>
      </c>
    </row>
    <row r="105" spans="1:2" x14ac:dyDescent="0.25">
      <c r="A105" t="s">
        <v>179</v>
      </c>
      <c r="B105">
        <f>B103+B104</f>
        <v>8.8825000000003467</v>
      </c>
    </row>
    <row r="106" spans="1:2" x14ac:dyDescent="0.25">
      <c r="A106" t="s">
        <v>180</v>
      </c>
      <c r="B106">
        <f>0.85*10*(1+2%+2.5%)</f>
        <v>8.8825000000000003</v>
      </c>
    </row>
    <row r="107" spans="1:2" x14ac:dyDescent="0.25">
      <c r="A107" t="s">
        <v>181</v>
      </c>
    </row>
    <row r="108" spans="1:2" x14ac:dyDescent="0.25">
      <c r="A108" t="s">
        <v>114</v>
      </c>
      <c r="B108" s="2">
        <v>0.14423119440962909</v>
      </c>
    </row>
    <row r="109" spans="1:2" x14ac:dyDescent="0.25">
      <c r="A109" t="s">
        <v>177</v>
      </c>
      <c r="B109">
        <f>0.85*10*(1+B108)^3*0.65</f>
        <v>8.277012913499739</v>
      </c>
    </row>
    <row r="110" spans="1:2" x14ac:dyDescent="0.25">
      <c r="A110" t="s">
        <v>178</v>
      </c>
      <c r="B110">
        <f>10*EXP(-0.3*3)*0.35</f>
        <v>1.4229938090920968</v>
      </c>
    </row>
    <row r="111" spans="1:2" x14ac:dyDescent="0.25">
      <c r="A111" t="s">
        <v>179</v>
      </c>
      <c r="B111">
        <f>B109+B110</f>
        <v>9.7000067225918354</v>
      </c>
    </row>
    <row r="112" spans="1:2" x14ac:dyDescent="0.25">
      <c r="A112" t="s">
        <v>180</v>
      </c>
      <c r="B112">
        <f>0.85*10*(1+2%+2.5%)^3</f>
        <v>9.6999120624999975</v>
      </c>
    </row>
    <row r="146" spans="1:11" x14ac:dyDescent="0.25">
      <c r="A146" s="8" t="s">
        <v>171</v>
      </c>
    </row>
    <row r="147" spans="1:11" x14ac:dyDescent="0.25">
      <c r="A147" t="s">
        <v>141</v>
      </c>
    </row>
    <row r="148" spans="1:11" x14ac:dyDescent="0.25">
      <c r="A148" t="s">
        <v>125</v>
      </c>
      <c r="B148">
        <v>1</v>
      </c>
      <c r="C148" t="s">
        <v>79</v>
      </c>
      <c r="D148">
        <v>1</v>
      </c>
      <c r="E148" t="s">
        <v>79</v>
      </c>
      <c r="G148">
        <v>1</v>
      </c>
      <c r="H148" t="s">
        <v>79</v>
      </c>
      <c r="I148">
        <v>1</v>
      </c>
      <c r="J148" t="s">
        <v>79</v>
      </c>
    </row>
    <row r="149" spans="1:11" x14ac:dyDescent="0.25">
      <c r="A149" t="s">
        <v>126</v>
      </c>
      <c r="B149">
        <v>0.25</v>
      </c>
      <c r="D149">
        <f>B149</f>
        <v>0.25</v>
      </c>
      <c r="G149">
        <v>0.25</v>
      </c>
      <c r="I149">
        <f>G149</f>
        <v>0.25</v>
      </c>
    </row>
    <row r="150" spans="1:11" x14ac:dyDescent="0.25">
      <c r="A150" t="s">
        <v>109</v>
      </c>
      <c r="B150">
        <f>B148-B149</f>
        <v>0.75</v>
      </c>
      <c r="D150">
        <f>B150</f>
        <v>0.75</v>
      </c>
      <c r="G150">
        <f>G148-G149</f>
        <v>0.75</v>
      </c>
      <c r="I150">
        <f>G150</f>
        <v>0.75</v>
      </c>
    </row>
    <row r="151" spans="1:11" x14ac:dyDescent="0.25">
      <c r="A151" t="s">
        <v>128</v>
      </c>
      <c r="B151">
        <v>0.02</v>
      </c>
      <c r="D151">
        <f>B151</f>
        <v>0.02</v>
      </c>
      <c r="G151">
        <v>0.02</v>
      </c>
      <c r="I151">
        <f>G151</f>
        <v>0.02</v>
      </c>
    </row>
    <row r="153" spans="1:11" x14ac:dyDescent="0.25">
      <c r="A153" t="s">
        <v>111</v>
      </c>
      <c r="B153">
        <v>0.65</v>
      </c>
      <c r="C153">
        <f>1-B153</f>
        <v>0.35</v>
      </c>
      <c r="D153">
        <v>0.85</v>
      </c>
      <c r="E153">
        <f>1-D153</f>
        <v>0.15000000000000002</v>
      </c>
      <c r="G153">
        <v>0.65</v>
      </c>
      <c r="H153">
        <f>1-G153</f>
        <v>0.35</v>
      </c>
      <c r="I153">
        <v>0.85</v>
      </c>
      <c r="J153">
        <f>1-I153</f>
        <v>0.15000000000000002</v>
      </c>
    </row>
    <row r="154" spans="1:11" x14ac:dyDescent="0.25">
      <c r="A154" t="s">
        <v>110</v>
      </c>
      <c r="B154">
        <v>1.3</v>
      </c>
      <c r="C154">
        <v>0.7</v>
      </c>
      <c r="D154">
        <v>1.3</v>
      </c>
      <c r="E154">
        <v>0.7</v>
      </c>
      <c r="G154">
        <v>1.3</v>
      </c>
      <c r="H154">
        <v>0.7</v>
      </c>
      <c r="I154">
        <v>1.3</v>
      </c>
      <c r="J154">
        <v>0.7</v>
      </c>
    </row>
    <row r="155" spans="1:11" x14ac:dyDescent="0.25">
      <c r="A155" t="s">
        <v>112</v>
      </c>
      <c r="B155">
        <f>B153*B154+C153*C154</f>
        <v>1.0900000000000001</v>
      </c>
      <c r="D155">
        <f>D153*D154+E153*E154</f>
        <v>1.21</v>
      </c>
      <c r="G155">
        <f>G153*G154+H153*H154</f>
        <v>1.0900000000000001</v>
      </c>
      <c r="I155">
        <f>I153*I154+J153*J154</f>
        <v>1.21</v>
      </c>
    </row>
    <row r="156" spans="1:11" x14ac:dyDescent="0.25">
      <c r="A156" t="s">
        <v>130</v>
      </c>
      <c r="G156">
        <v>0.6</v>
      </c>
      <c r="I156">
        <f>1-G156</f>
        <v>0.4</v>
      </c>
      <c r="K156" t="s">
        <v>131</v>
      </c>
    </row>
    <row r="158" spans="1:11" x14ac:dyDescent="0.25">
      <c r="A158" t="s">
        <v>113</v>
      </c>
      <c r="B158" s="1">
        <v>0.7</v>
      </c>
      <c r="D158" s="1">
        <v>0.7</v>
      </c>
      <c r="G158" s="1">
        <v>0.7</v>
      </c>
      <c r="I158" s="1">
        <v>0.7</v>
      </c>
    </row>
    <row r="159" spans="1:11" x14ac:dyDescent="0.25">
      <c r="A159" t="s">
        <v>117</v>
      </c>
      <c r="B159" s="1">
        <v>0.02</v>
      </c>
      <c r="D159" s="1">
        <v>0.02</v>
      </c>
      <c r="G159" s="1">
        <v>0.02</v>
      </c>
      <c r="I159" s="1">
        <v>0.02</v>
      </c>
    </row>
    <row r="160" spans="1:11" x14ac:dyDescent="0.25">
      <c r="A160" t="s">
        <v>116</v>
      </c>
      <c r="B160" s="6">
        <f>B150*(1+B151+B159)</f>
        <v>0.78</v>
      </c>
      <c r="D160" s="6">
        <f>D150*(1+D151+D159)</f>
        <v>0.78</v>
      </c>
      <c r="G160" s="6">
        <f>G150*(1+G151+G159)</f>
        <v>0.78</v>
      </c>
      <c r="I160" s="6">
        <f>I150*(1+I151+I159)</f>
        <v>0.78</v>
      </c>
      <c r="K160">
        <f>(I150*(1+K162)*G153+H154*G158*H153)*G156+(I150*(1+K162)*I153+J154*I158*J153)*I156</f>
        <v>0.78</v>
      </c>
    </row>
    <row r="161" spans="1:11" x14ac:dyDescent="0.25">
      <c r="B161" s="4"/>
      <c r="D161" s="4"/>
      <c r="G161" s="4"/>
      <c r="I161" s="4"/>
    </row>
    <row r="162" spans="1:11" x14ac:dyDescent="0.25">
      <c r="A162" t="s">
        <v>114</v>
      </c>
      <c r="B162" s="1">
        <f>(B160-C154*B158*C153)/(B150*B153)-1</f>
        <v>0.24820512820512808</v>
      </c>
      <c r="D162" s="1">
        <f>(D160-E154*D158*E153)/(D150*D153)-1</f>
        <v>0.10823529411764721</v>
      </c>
      <c r="G162" s="1">
        <f>(G160-H154*G158*H153)/(G150*G153)-1</f>
        <v>0.24820512820512808</v>
      </c>
      <c r="I162" s="1">
        <f>(I160-J154*I158*J153)/(I150*I153)-1</f>
        <v>0.10823529411764721</v>
      </c>
      <c r="K162">
        <v>0.18301369863013711</v>
      </c>
    </row>
    <row r="164" spans="1:11" x14ac:dyDescent="0.25">
      <c r="A164" t="s">
        <v>127</v>
      </c>
      <c r="B164">
        <f>(B154-B150*(1+B162))*B153-B149*(1+B151)</f>
        <v>-1.8499999999999933E-2</v>
      </c>
      <c r="D164">
        <f>(D154-D150*(1+D162))*D153-D149*(1+D151)</f>
        <v>0.14349999999999991</v>
      </c>
      <c r="G164">
        <f>(G154-G150*(1+K162))*G153-G149*(1+G151)</f>
        <v>1.3280821917808161E-2</v>
      </c>
      <c r="I164">
        <f>(I154-I150*(1+K162))*I153-I149*(1+I151)</f>
        <v>9.5828767123287584E-2</v>
      </c>
    </row>
    <row r="167" spans="1:11" x14ac:dyDescent="0.25">
      <c r="A167" t="s">
        <v>125</v>
      </c>
      <c r="B167">
        <v>1</v>
      </c>
      <c r="C167" t="s">
        <v>79</v>
      </c>
      <c r="D167">
        <v>1</v>
      </c>
      <c r="E167" t="s">
        <v>79</v>
      </c>
      <c r="G167">
        <v>1</v>
      </c>
      <c r="H167" t="s">
        <v>79</v>
      </c>
      <c r="I167">
        <v>1</v>
      </c>
      <c r="J167" t="s">
        <v>79</v>
      </c>
    </row>
    <row r="168" spans="1:11" x14ac:dyDescent="0.25">
      <c r="A168" t="s">
        <v>126</v>
      </c>
      <c r="B168">
        <v>0.25</v>
      </c>
      <c r="D168">
        <f>B168</f>
        <v>0.25</v>
      </c>
      <c r="G168">
        <v>0.25</v>
      </c>
      <c r="I168">
        <f>G168</f>
        <v>0.25</v>
      </c>
    </row>
    <row r="169" spans="1:11" x14ac:dyDescent="0.25">
      <c r="A169" t="s">
        <v>109</v>
      </c>
      <c r="B169">
        <f>B167-B168</f>
        <v>0.75</v>
      </c>
      <c r="D169">
        <f>B169</f>
        <v>0.75</v>
      </c>
      <c r="G169">
        <f>G167-G168</f>
        <v>0.75</v>
      </c>
      <c r="I169">
        <f>G169</f>
        <v>0.75</v>
      </c>
    </row>
    <row r="170" spans="1:11" x14ac:dyDescent="0.25">
      <c r="A170" t="s">
        <v>128</v>
      </c>
      <c r="B170">
        <v>0.06</v>
      </c>
      <c r="D170">
        <f>B170</f>
        <v>0.06</v>
      </c>
      <c r="G170">
        <v>0.06</v>
      </c>
      <c r="I170">
        <f>G170</f>
        <v>0.06</v>
      </c>
    </row>
    <row r="172" spans="1:11" x14ac:dyDescent="0.25">
      <c r="A172" t="s">
        <v>111</v>
      </c>
      <c r="B172">
        <v>0.65</v>
      </c>
      <c r="C172">
        <f>1-B172</f>
        <v>0.35</v>
      </c>
      <c r="D172">
        <v>0.85</v>
      </c>
      <c r="E172">
        <f>1-D172</f>
        <v>0.15000000000000002</v>
      </c>
      <c r="G172">
        <v>0.65</v>
      </c>
      <c r="H172">
        <f>1-G172</f>
        <v>0.35</v>
      </c>
      <c r="I172">
        <v>0.85</v>
      </c>
      <c r="J172">
        <f>1-I172</f>
        <v>0.15000000000000002</v>
      </c>
    </row>
    <row r="173" spans="1:11" x14ac:dyDescent="0.25">
      <c r="A173" t="s">
        <v>110</v>
      </c>
      <c r="B173">
        <v>1.3</v>
      </c>
      <c r="C173">
        <v>0.7</v>
      </c>
      <c r="D173">
        <v>1.3</v>
      </c>
      <c r="E173">
        <v>0.7</v>
      </c>
      <c r="G173">
        <v>1.3</v>
      </c>
      <c r="H173">
        <v>0.7</v>
      </c>
      <c r="I173">
        <v>1.3</v>
      </c>
      <c r="J173">
        <v>0.7</v>
      </c>
    </row>
    <row r="174" spans="1:11" x14ac:dyDescent="0.25">
      <c r="A174" t="s">
        <v>112</v>
      </c>
      <c r="B174">
        <f>B172*B173+C172*C173</f>
        <v>1.0900000000000001</v>
      </c>
      <c r="D174">
        <f>D172*D173+E172*E173</f>
        <v>1.21</v>
      </c>
      <c r="G174">
        <f>G172*G173+H172*H173</f>
        <v>1.0900000000000001</v>
      </c>
      <c r="I174">
        <f>I172*I173+J172*J173</f>
        <v>1.21</v>
      </c>
    </row>
    <row r="175" spans="1:11" x14ac:dyDescent="0.25">
      <c r="A175" t="s">
        <v>130</v>
      </c>
      <c r="G175">
        <v>0.6</v>
      </c>
      <c r="I175">
        <f>1-G175</f>
        <v>0.4</v>
      </c>
      <c r="K175" t="s">
        <v>131</v>
      </c>
    </row>
    <row r="177" spans="1:11" x14ac:dyDescent="0.25">
      <c r="A177" t="s">
        <v>113</v>
      </c>
      <c r="B177" s="1">
        <v>0.7</v>
      </c>
      <c r="D177" s="1">
        <v>0.7</v>
      </c>
      <c r="G177" s="1">
        <v>0.7</v>
      </c>
      <c r="I177" s="1">
        <v>0.7</v>
      </c>
    </row>
    <row r="178" spans="1:11" x14ac:dyDescent="0.25">
      <c r="A178" t="s">
        <v>117</v>
      </c>
      <c r="B178" s="1">
        <v>0.02</v>
      </c>
      <c r="D178" s="1">
        <v>0.02</v>
      </c>
      <c r="G178" s="1">
        <v>0.02</v>
      </c>
      <c r="I178" s="1">
        <v>0.02</v>
      </c>
    </row>
    <row r="179" spans="1:11" x14ac:dyDescent="0.25">
      <c r="A179" t="s">
        <v>116</v>
      </c>
      <c r="B179" s="6">
        <f>B169*(1+B170+B178)</f>
        <v>0.81</v>
      </c>
      <c r="D179" s="6">
        <f>D169*(1+D170+D178)</f>
        <v>0.81</v>
      </c>
      <c r="G179" s="6">
        <f>G169*(1+G170+G178)</f>
        <v>0.81</v>
      </c>
      <c r="I179" s="6">
        <f>I169*(1+I170+I178)</f>
        <v>0.81</v>
      </c>
      <c r="K179">
        <f>(I169*(1+K181)*G172+H173*G177*H172)*G175+(I169*(1+K181)*I172+J173*I177*J172)*I175</f>
        <v>0.81000000000000016</v>
      </c>
    </row>
    <row r="180" spans="1:11" x14ac:dyDescent="0.25">
      <c r="B180" s="4"/>
      <c r="D180" s="4"/>
      <c r="G180" s="4"/>
      <c r="I180" s="4"/>
    </row>
    <row r="181" spans="1:11" x14ac:dyDescent="0.25">
      <c r="A181" t="s">
        <v>114</v>
      </c>
      <c r="B181" s="1">
        <f>(B179-C173*B177*C172)/(B169*B172)-1</f>
        <v>0.30974358974358984</v>
      </c>
      <c r="D181" s="1">
        <f>(D179-E173*D177*E172)/(D169*D172)-1</f>
        <v>0.15529411764705903</v>
      </c>
      <c r="G181" s="1">
        <f>(G179-H173*G177*H172)/(G169*G172)-1</f>
        <v>0.30974358974358984</v>
      </c>
      <c r="I181" s="1">
        <f>(I179-J173*I177*J172)/(I169*I172)-1</f>
        <v>0.15529411764705903</v>
      </c>
      <c r="K181">
        <v>0.2378082191780824</v>
      </c>
    </row>
    <row r="183" spans="1:11" x14ac:dyDescent="0.25">
      <c r="A183" t="s">
        <v>127</v>
      </c>
      <c r="B183">
        <f>(B173-B169*(1+B181))*B172-B168*(1+B170)</f>
        <v>-5.8499999999999996E-2</v>
      </c>
      <c r="D183">
        <f>(D173-D169*(1+D181))*D172-D168*(1+D170)</f>
        <v>0.10349999999999981</v>
      </c>
      <c r="G183">
        <f>(G173-G169*(1+K181))*G172-G168*(1+G170)</f>
        <v>-2.3431506849315165E-2</v>
      </c>
      <c r="I183">
        <f>(I173-I169*(1+K181))*I172-I168*(1+I170)</f>
        <v>5.0897260273972456E-2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3"/>
  <sheetViews>
    <sheetView topLeftCell="A101" workbookViewId="0">
      <selection activeCell="L101" sqref="L101"/>
    </sheetView>
  </sheetViews>
  <sheetFormatPr defaultRowHeight="12.5" x14ac:dyDescent="0.25"/>
  <cols>
    <col min="1" max="1" width="28.81640625" customWidth="1"/>
    <col min="2" max="2" width="9.1796875" customWidth="1"/>
    <col min="6" max="6" width="12.54296875" customWidth="1"/>
  </cols>
  <sheetData>
    <row r="1" spans="1:6" x14ac:dyDescent="0.25">
      <c r="A1" s="8" t="s">
        <v>53</v>
      </c>
    </row>
    <row r="3" spans="1:6" x14ac:dyDescent="0.25">
      <c r="A3" t="s">
        <v>0</v>
      </c>
      <c r="B3">
        <v>300000</v>
      </c>
    </row>
    <row r="4" spans="1:6" x14ac:dyDescent="0.25">
      <c r="A4" t="s">
        <v>1</v>
      </c>
      <c r="B4" s="1">
        <v>0.25</v>
      </c>
    </row>
    <row r="5" spans="1:6" x14ac:dyDescent="0.25">
      <c r="A5" t="s">
        <v>2</v>
      </c>
      <c r="B5">
        <f>B3*B4</f>
        <v>75000</v>
      </c>
    </row>
    <row r="6" spans="1:6" x14ac:dyDescent="0.25">
      <c r="A6" t="s">
        <v>3</v>
      </c>
      <c r="B6">
        <f>B3-B5</f>
        <v>225000</v>
      </c>
    </row>
    <row r="7" spans="1:6" x14ac:dyDescent="0.25">
      <c r="A7" t="s">
        <v>4</v>
      </c>
      <c r="B7">
        <v>30</v>
      </c>
      <c r="C7" t="s">
        <v>5</v>
      </c>
    </row>
    <row r="8" spans="1:6" x14ac:dyDescent="0.25">
      <c r="A8" t="s">
        <v>6</v>
      </c>
      <c r="B8">
        <f>B7*12</f>
        <v>360</v>
      </c>
    </row>
    <row r="9" spans="1:6" x14ac:dyDescent="0.25">
      <c r="A9" t="s">
        <v>7</v>
      </c>
      <c r="B9" s="1">
        <v>7.0000000000000007E-2</v>
      </c>
    </row>
    <row r="10" spans="1:6" x14ac:dyDescent="0.25">
      <c r="A10" t="s">
        <v>8</v>
      </c>
      <c r="B10">
        <f>B9/12</f>
        <v>5.8333333333333336E-3</v>
      </c>
    </row>
    <row r="11" spans="1:6" x14ac:dyDescent="0.25">
      <c r="A11" t="s">
        <v>9</v>
      </c>
      <c r="B11">
        <f>B6*(B10/(1-1/(1+B10)^B8))</f>
        <v>1496.9306141531608</v>
      </c>
    </row>
    <row r="14" spans="1:6" x14ac:dyDescent="0.25">
      <c r="A14" t="s">
        <v>0</v>
      </c>
      <c r="B14">
        <v>300000</v>
      </c>
      <c r="E14" t="s">
        <v>0</v>
      </c>
      <c r="F14">
        <v>473408.18405944901</v>
      </c>
    </row>
    <row r="15" spans="1:6" x14ac:dyDescent="0.25">
      <c r="A15" t="s">
        <v>1</v>
      </c>
      <c r="B15" s="1">
        <v>0.25</v>
      </c>
      <c r="E15" t="s">
        <v>1</v>
      </c>
      <c r="F15" s="1">
        <v>0.25</v>
      </c>
    </row>
    <row r="16" spans="1:6" x14ac:dyDescent="0.25">
      <c r="A16" t="s">
        <v>2</v>
      </c>
      <c r="B16">
        <f>B14*B15</f>
        <v>75000</v>
      </c>
      <c r="E16" t="s">
        <v>2</v>
      </c>
      <c r="F16">
        <f>F14*F15</f>
        <v>118352.04601486225</v>
      </c>
    </row>
    <row r="17" spans="1:6" x14ac:dyDescent="0.25">
      <c r="A17" t="s">
        <v>3</v>
      </c>
      <c r="B17">
        <f>B14-B16</f>
        <v>225000</v>
      </c>
      <c r="E17" t="s">
        <v>3</v>
      </c>
      <c r="F17">
        <f>F14-F16</f>
        <v>355056.13804458675</v>
      </c>
    </row>
    <row r="18" spans="1:6" x14ac:dyDescent="0.25">
      <c r="A18" t="s">
        <v>4</v>
      </c>
      <c r="B18">
        <v>30</v>
      </c>
      <c r="C18" t="s">
        <v>5</v>
      </c>
      <c r="E18" t="s">
        <v>4</v>
      </c>
      <c r="F18">
        <v>30</v>
      </c>
    </row>
    <row r="19" spans="1:6" x14ac:dyDescent="0.25">
      <c r="A19" t="s">
        <v>6</v>
      </c>
      <c r="B19">
        <f>B18*12</f>
        <v>360</v>
      </c>
      <c r="E19" t="s">
        <v>6</v>
      </c>
      <c r="F19">
        <f>F18*12</f>
        <v>360</v>
      </c>
    </row>
    <row r="20" spans="1:6" x14ac:dyDescent="0.25">
      <c r="A20" t="s">
        <v>7</v>
      </c>
      <c r="B20" s="1">
        <v>0.03</v>
      </c>
      <c r="E20" t="s">
        <v>7</v>
      </c>
      <c r="F20" s="1">
        <v>0.03</v>
      </c>
    </row>
    <row r="21" spans="1:6" x14ac:dyDescent="0.25">
      <c r="A21" t="s">
        <v>8</v>
      </c>
      <c r="B21">
        <f>B20/12</f>
        <v>2.5000000000000001E-3</v>
      </c>
      <c r="E21" t="s">
        <v>8</v>
      </c>
      <c r="F21">
        <f>F20/12</f>
        <v>2.5000000000000001E-3</v>
      </c>
    </row>
    <row r="22" spans="1:6" x14ac:dyDescent="0.25">
      <c r="A22" t="s">
        <v>9</v>
      </c>
      <c r="B22">
        <f>B17*(B21/(1-1/(1+B21)^B19))</f>
        <v>948.60907589127396</v>
      </c>
      <c r="E22" t="s">
        <v>9</v>
      </c>
      <c r="F22">
        <f>F17*(F21/(1-1/(1+F21)^F19))</f>
        <v>1496.931</v>
      </c>
    </row>
    <row r="25" spans="1:6" x14ac:dyDescent="0.25">
      <c r="A25" s="8" t="s">
        <v>52</v>
      </c>
    </row>
    <row r="26" spans="1:6" x14ac:dyDescent="0.25">
      <c r="A26" t="s">
        <v>0</v>
      </c>
      <c r="B26">
        <v>400000</v>
      </c>
      <c r="E26" t="s">
        <v>0</v>
      </c>
      <c r="F26">
        <f>F29/(1-F27)</f>
        <v>445313.43593445735</v>
      </c>
    </row>
    <row r="27" spans="1:6" x14ac:dyDescent="0.25">
      <c r="A27" t="s">
        <v>1</v>
      </c>
      <c r="B27" s="1">
        <v>0.2</v>
      </c>
      <c r="E27" t="s">
        <v>1</v>
      </c>
      <c r="F27" s="1">
        <v>0.2</v>
      </c>
    </row>
    <row r="28" spans="1:6" x14ac:dyDescent="0.25">
      <c r="A28" t="s">
        <v>2</v>
      </c>
      <c r="B28">
        <f>B26*B27</f>
        <v>80000</v>
      </c>
      <c r="E28" t="s">
        <v>2</v>
      </c>
      <c r="F28">
        <f>F26*F27</f>
        <v>89062.687186891475</v>
      </c>
    </row>
    <row r="29" spans="1:6" x14ac:dyDescent="0.25">
      <c r="A29" t="s">
        <v>3</v>
      </c>
      <c r="B29">
        <f>B26-B28</f>
        <v>320000</v>
      </c>
      <c r="E29" t="s">
        <v>3</v>
      </c>
      <c r="F29">
        <v>356250.7487475659</v>
      </c>
    </row>
    <row r="30" spans="1:6" x14ac:dyDescent="0.25">
      <c r="A30" t="s">
        <v>4</v>
      </c>
      <c r="B30">
        <v>30</v>
      </c>
      <c r="C30" t="s">
        <v>5</v>
      </c>
      <c r="E30" t="s">
        <v>4</v>
      </c>
      <c r="F30">
        <v>40</v>
      </c>
    </row>
    <row r="31" spans="1:6" x14ac:dyDescent="0.25">
      <c r="A31" t="s">
        <v>6</v>
      </c>
      <c r="B31">
        <f>B30*12</f>
        <v>360</v>
      </c>
      <c r="E31" t="s">
        <v>6</v>
      </c>
      <c r="F31">
        <f>F30*12</f>
        <v>480</v>
      </c>
    </row>
    <row r="32" spans="1:6" x14ac:dyDescent="0.25">
      <c r="A32" t="s">
        <v>7</v>
      </c>
      <c r="B32" s="1">
        <v>0.05</v>
      </c>
      <c r="E32" t="s">
        <v>7</v>
      </c>
      <c r="F32" s="1">
        <v>0.05</v>
      </c>
    </row>
    <row r="33" spans="1:6" x14ac:dyDescent="0.25">
      <c r="A33" t="s">
        <v>8</v>
      </c>
      <c r="B33">
        <f>B32/12</f>
        <v>4.1666666666666666E-3</v>
      </c>
      <c r="E33" t="s">
        <v>8</v>
      </c>
      <c r="F33">
        <f>F32/12</f>
        <v>4.1666666666666666E-3</v>
      </c>
    </row>
    <row r="34" spans="1:6" x14ac:dyDescent="0.25">
      <c r="A34" t="s">
        <v>9</v>
      </c>
      <c r="B34">
        <f>B29*(B33/(1-1/(1+B33)^B31))</f>
        <v>1717.8291936388421</v>
      </c>
      <c r="E34" t="s">
        <v>9</v>
      </c>
      <c r="F34">
        <f>F29*(F33/(1-1/(1+F33)^F31))</f>
        <v>1717.8289999999997</v>
      </c>
    </row>
    <row r="37" spans="1:6" x14ac:dyDescent="0.25">
      <c r="A37" t="s">
        <v>4</v>
      </c>
      <c r="B37">
        <v>40</v>
      </c>
      <c r="C37" t="s">
        <v>5</v>
      </c>
    </row>
    <row r="38" spans="1:6" x14ac:dyDescent="0.25">
      <c r="A38" t="s">
        <v>6</v>
      </c>
      <c r="B38">
        <f>B37*12</f>
        <v>480</v>
      </c>
    </row>
    <row r="39" spans="1:6" x14ac:dyDescent="0.25">
      <c r="A39" t="s">
        <v>7</v>
      </c>
      <c r="B39" s="1">
        <v>0.05</v>
      </c>
    </row>
    <row r="40" spans="1:6" x14ac:dyDescent="0.25">
      <c r="A40" t="s">
        <v>8</v>
      </c>
      <c r="B40">
        <f>B39/12</f>
        <v>4.1666666666666666E-3</v>
      </c>
    </row>
    <row r="41" spans="1:6" x14ac:dyDescent="0.25">
      <c r="A41" t="s">
        <v>9</v>
      </c>
      <c r="B41">
        <f>B29*(B40/(1-1/(1+B40)^B38))</f>
        <v>1543.0291218545988</v>
      </c>
    </row>
    <row r="45" spans="1:6" x14ac:dyDescent="0.25">
      <c r="A45" s="8" t="s">
        <v>65</v>
      </c>
    </row>
    <row r="46" spans="1:6" x14ac:dyDescent="0.25">
      <c r="A46" t="s">
        <v>54</v>
      </c>
      <c r="B46" s="3">
        <v>400000</v>
      </c>
    </row>
    <row r="47" spans="1:6" x14ac:dyDescent="0.25">
      <c r="A47" t="s">
        <v>55</v>
      </c>
      <c r="B47" s="1">
        <v>0.04</v>
      </c>
      <c r="C47" t="s">
        <v>56</v>
      </c>
    </row>
    <row r="48" spans="1:6" x14ac:dyDescent="0.25">
      <c r="A48" t="s">
        <v>57</v>
      </c>
      <c r="B48">
        <f>B47/12</f>
        <v>3.3333333333333335E-3</v>
      </c>
    </row>
    <row r="49" spans="1:3" x14ac:dyDescent="0.25">
      <c r="A49" t="s">
        <v>58</v>
      </c>
      <c r="B49">
        <f>B46*B48</f>
        <v>1333.3333333333335</v>
      </c>
    </row>
    <row r="50" spans="1:3" x14ac:dyDescent="0.25">
      <c r="A50" t="s">
        <v>59</v>
      </c>
      <c r="B50">
        <v>25</v>
      </c>
      <c r="C50" t="s">
        <v>5</v>
      </c>
    </row>
    <row r="51" spans="1:3" x14ac:dyDescent="0.25">
      <c r="A51" t="s">
        <v>6</v>
      </c>
      <c r="B51">
        <f>B50*12</f>
        <v>300</v>
      </c>
    </row>
    <row r="52" spans="1:3" x14ac:dyDescent="0.25">
      <c r="A52" t="s">
        <v>60</v>
      </c>
      <c r="B52">
        <f>B46/((1-1/(1+B48)^B51)/B48)</f>
        <v>2111.3473611910758</v>
      </c>
    </row>
    <row r="53" spans="1:3" x14ac:dyDescent="0.25">
      <c r="A53" t="s">
        <v>61</v>
      </c>
      <c r="B53" s="1">
        <v>0.2</v>
      </c>
    </row>
    <row r="54" spans="1:3" x14ac:dyDescent="0.25">
      <c r="A54" t="s">
        <v>62</v>
      </c>
      <c r="B54">
        <f>B46*B53</f>
        <v>80000</v>
      </c>
    </row>
    <row r="55" spans="1:3" x14ac:dyDescent="0.25">
      <c r="A55" t="s">
        <v>63</v>
      </c>
      <c r="B55">
        <f>B49*12</f>
        <v>16000.000000000002</v>
      </c>
    </row>
    <row r="56" spans="1:3" x14ac:dyDescent="0.25">
      <c r="A56" t="s">
        <v>64</v>
      </c>
      <c r="B56" s="4">
        <f>B54/B55-1</f>
        <v>3.9999999999999991</v>
      </c>
    </row>
    <row r="57" spans="1:3" x14ac:dyDescent="0.25">
      <c r="B57" s="4"/>
    </row>
    <row r="60" spans="1:3" x14ac:dyDescent="0.25">
      <c r="A60" s="8" t="s">
        <v>76</v>
      </c>
    </row>
    <row r="61" spans="1:3" x14ac:dyDescent="0.25">
      <c r="A61" t="s">
        <v>151</v>
      </c>
      <c r="B61" s="1">
        <v>0.04</v>
      </c>
    </row>
    <row r="62" spans="1:3" x14ac:dyDescent="0.25">
      <c r="A62" t="s">
        <v>145</v>
      </c>
    </row>
    <row r="63" spans="1:3" x14ac:dyDescent="0.25">
      <c r="A63" t="s">
        <v>146</v>
      </c>
      <c r="B63" s="1">
        <v>0.04</v>
      </c>
    </row>
    <row r="64" spans="1:3" x14ac:dyDescent="0.25">
      <c r="A64" t="s">
        <v>147</v>
      </c>
      <c r="B64">
        <v>5</v>
      </c>
      <c r="C64" t="s">
        <v>148</v>
      </c>
    </row>
    <row r="65" spans="1:5" x14ac:dyDescent="0.25">
      <c r="A65" t="s">
        <v>149</v>
      </c>
      <c r="B65">
        <v>1000000</v>
      </c>
      <c r="D65" t="s">
        <v>152</v>
      </c>
      <c r="E65">
        <v>1000000</v>
      </c>
    </row>
    <row r="67" spans="1:5" x14ac:dyDescent="0.25">
      <c r="A67" t="s">
        <v>150</v>
      </c>
    </row>
    <row r="68" spans="1:5" x14ac:dyDescent="0.25">
      <c r="A68" t="s">
        <v>146</v>
      </c>
      <c r="B68" s="1">
        <v>0.04</v>
      </c>
    </row>
    <row r="69" spans="1:5" x14ac:dyDescent="0.25">
      <c r="A69" t="s">
        <v>147</v>
      </c>
      <c r="B69">
        <v>10</v>
      </c>
      <c r="C69" t="s">
        <v>148</v>
      </c>
    </row>
    <row r="70" spans="1:5" x14ac:dyDescent="0.25">
      <c r="A70" t="s">
        <v>149</v>
      </c>
      <c r="B70">
        <v>1000000</v>
      </c>
      <c r="E70">
        <v>1000000</v>
      </c>
    </row>
    <row r="73" spans="1:5" x14ac:dyDescent="0.25">
      <c r="A73" t="s">
        <v>151</v>
      </c>
      <c r="B73" s="1">
        <v>0.02</v>
      </c>
    </row>
    <row r="74" spans="1:5" x14ac:dyDescent="0.25">
      <c r="A74" t="s">
        <v>145</v>
      </c>
    </row>
    <row r="75" spans="1:5" x14ac:dyDescent="0.25">
      <c r="A75" t="s">
        <v>146</v>
      </c>
      <c r="B75" s="1">
        <v>0.04</v>
      </c>
    </row>
    <row r="76" spans="1:5" x14ac:dyDescent="0.25">
      <c r="A76" t="s">
        <v>147</v>
      </c>
      <c r="B76">
        <v>5</v>
      </c>
      <c r="C76" t="s">
        <v>148</v>
      </c>
    </row>
    <row r="77" spans="1:5" x14ac:dyDescent="0.25">
      <c r="A77" t="s">
        <v>149</v>
      </c>
      <c r="B77">
        <v>1000000</v>
      </c>
      <c r="D77" t="s">
        <v>152</v>
      </c>
      <c r="E77">
        <v>1094269.19</v>
      </c>
    </row>
    <row r="79" spans="1:5" x14ac:dyDescent="0.25">
      <c r="A79" t="s">
        <v>150</v>
      </c>
    </row>
    <row r="80" spans="1:5" x14ac:dyDescent="0.25">
      <c r="A80" t="s">
        <v>146</v>
      </c>
      <c r="B80" s="1">
        <v>0.04</v>
      </c>
    </row>
    <row r="81" spans="1:5" x14ac:dyDescent="0.25">
      <c r="A81" t="s">
        <v>147</v>
      </c>
      <c r="B81">
        <v>10</v>
      </c>
      <c r="C81" t="s">
        <v>148</v>
      </c>
    </row>
    <row r="82" spans="1:5" x14ac:dyDescent="0.25">
      <c r="A82" t="s">
        <v>149</v>
      </c>
      <c r="B82">
        <v>1000000</v>
      </c>
      <c r="E82">
        <v>1179651.7</v>
      </c>
    </row>
    <row r="85" spans="1:5" x14ac:dyDescent="0.25">
      <c r="A85" t="s">
        <v>151</v>
      </c>
      <c r="B85" s="1">
        <v>0.06</v>
      </c>
    </row>
    <row r="86" spans="1:5" x14ac:dyDescent="0.25">
      <c r="A86" t="s">
        <v>145</v>
      </c>
    </row>
    <row r="87" spans="1:5" x14ac:dyDescent="0.25">
      <c r="A87" t="s">
        <v>146</v>
      </c>
      <c r="B87" s="1">
        <v>0.04</v>
      </c>
    </row>
    <row r="88" spans="1:5" x14ac:dyDescent="0.25">
      <c r="A88" t="s">
        <v>147</v>
      </c>
      <c r="B88">
        <v>5</v>
      </c>
      <c r="C88" t="s">
        <v>148</v>
      </c>
    </row>
    <row r="89" spans="1:5" x14ac:dyDescent="0.25">
      <c r="A89" t="s">
        <v>149</v>
      </c>
      <c r="B89">
        <v>1000000</v>
      </c>
      <c r="D89" t="s">
        <v>152</v>
      </c>
      <c r="E89">
        <v>915752.7243</v>
      </c>
    </row>
    <row r="91" spans="1:5" x14ac:dyDescent="0.25">
      <c r="A91" t="s">
        <v>150</v>
      </c>
    </row>
    <row r="92" spans="1:5" x14ac:dyDescent="0.25">
      <c r="A92" t="s">
        <v>146</v>
      </c>
      <c r="B92" s="1">
        <v>0.04</v>
      </c>
    </row>
    <row r="93" spans="1:5" x14ac:dyDescent="0.25">
      <c r="A93" t="s">
        <v>147</v>
      </c>
      <c r="B93">
        <v>10</v>
      </c>
      <c r="C93" t="s">
        <v>148</v>
      </c>
    </row>
    <row r="94" spans="1:5" x14ac:dyDescent="0.25">
      <c r="A94" t="s">
        <v>149</v>
      </c>
      <c r="B94">
        <v>1000000</v>
      </c>
      <c r="E94">
        <v>852798.25899999996</v>
      </c>
    </row>
    <row r="97" spans="1:5" x14ac:dyDescent="0.25">
      <c r="A97" s="8" t="s">
        <v>133</v>
      </c>
    </row>
    <row r="98" spans="1:5" x14ac:dyDescent="0.25">
      <c r="A98" t="s">
        <v>151</v>
      </c>
      <c r="B98" s="1">
        <v>0.04</v>
      </c>
    </row>
    <row r="99" spans="1:5" x14ac:dyDescent="0.25">
      <c r="A99" t="s">
        <v>145</v>
      </c>
    </row>
    <row r="100" spans="1:5" x14ac:dyDescent="0.25">
      <c r="A100" t="s">
        <v>146</v>
      </c>
      <c r="B100" s="1">
        <v>0.03</v>
      </c>
    </row>
    <row r="101" spans="1:5" x14ac:dyDescent="0.25">
      <c r="A101" t="s">
        <v>147</v>
      </c>
      <c r="B101">
        <v>10</v>
      </c>
      <c r="C101" t="s">
        <v>148</v>
      </c>
    </row>
    <row r="102" spans="1:5" x14ac:dyDescent="0.25">
      <c r="A102" t="s">
        <v>149</v>
      </c>
      <c r="B102">
        <v>1000000</v>
      </c>
      <c r="D102" t="s">
        <v>152</v>
      </c>
      <c r="E102">
        <v>918891.04220000003</v>
      </c>
    </row>
    <row r="104" spans="1:5" x14ac:dyDescent="0.25">
      <c r="A104" t="s">
        <v>150</v>
      </c>
    </row>
    <row r="105" spans="1:5" x14ac:dyDescent="0.25">
      <c r="A105" t="s">
        <v>146</v>
      </c>
      <c r="B105" s="1">
        <v>7.0000000000000007E-2</v>
      </c>
    </row>
    <row r="106" spans="1:5" x14ac:dyDescent="0.25">
      <c r="A106" t="s">
        <v>147</v>
      </c>
      <c r="B106">
        <v>10</v>
      </c>
      <c r="C106" t="s">
        <v>148</v>
      </c>
    </row>
    <row r="107" spans="1:5" x14ac:dyDescent="0.25">
      <c r="A107" t="s">
        <v>149</v>
      </c>
      <c r="B107">
        <v>1000000</v>
      </c>
      <c r="E107">
        <v>1243326.8729999999</v>
      </c>
    </row>
    <row r="110" spans="1:5" x14ac:dyDescent="0.25">
      <c r="A110" t="s">
        <v>151</v>
      </c>
      <c r="B110" s="1">
        <v>0.02</v>
      </c>
    </row>
    <row r="111" spans="1:5" x14ac:dyDescent="0.25">
      <c r="A111" t="s">
        <v>145</v>
      </c>
    </row>
    <row r="112" spans="1:5" x14ac:dyDescent="0.25">
      <c r="A112" t="s">
        <v>146</v>
      </c>
      <c r="B112" s="1">
        <v>0.03</v>
      </c>
    </row>
    <row r="113" spans="1:7" x14ac:dyDescent="0.25">
      <c r="A113" t="s">
        <v>147</v>
      </c>
      <c r="B113">
        <v>10</v>
      </c>
      <c r="C113" t="s">
        <v>148</v>
      </c>
    </row>
    <row r="114" spans="1:7" x14ac:dyDescent="0.25">
      <c r="A114" t="s">
        <v>149</v>
      </c>
      <c r="B114">
        <v>1000000</v>
      </c>
      <c r="D114" t="s">
        <v>152</v>
      </c>
      <c r="E114">
        <v>1089825.8500000001</v>
      </c>
      <c r="F114" t="s">
        <v>153</v>
      </c>
      <c r="G114">
        <v>0.186022934</v>
      </c>
    </row>
    <row r="116" spans="1:7" x14ac:dyDescent="0.25">
      <c r="A116" t="s">
        <v>150</v>
      </c>
    </row>
    <row r="117" spans="1:7" x14ac:dyDescent="0.25">
      <c r="A117" t="s">
        <v>146</v>
      </c>
      <c r="B117" s="1">
        <v>7.0000000000000007E-2</v>
      </c>
    </row>
    <row r="118" spans="1:7" x14ac:dyDescent="0.25">
      <c r="A118" t="s">
        <v>147</v>
      </c>
      <c r="B118">
        <v>10</v>
      </c>
      <c r="C118" t="s">
        <v>148</v>
      </c>
    </row>
    <row r="119" spans="1:7" x14ac:dyDescent="0.25">
      <c r="A119" t="s">
        <v>149</v>
      </c>
      <c r="B119">
        <v>1000000</v>
      </c>
      <c r="E119">
        <v>1449129.25</v>
      </c>
      <c r="G119">
        <v>0.16552555999999999</v>
      </c>
    </row>
    <row r="122" spans="1:7" x14ac:dyDescent="0.25">
      <c r="A122" t="s">
        <v>151</v>
      </c>
      <c r="B122" s="1">
        <v>0.06</v>
      </c>
    </row>
    <row r="123" spans="1:7" x14ac:dyDescent="0.25">
      <c r="A123" t="s">
        <v>145</v>
      </c>
    </row>
    <row r="124" spans="1:7" x14ac:dyDescent="0.25">
      <c r="A124" t="s">
        <v>146</v>
      </c>
      <c r="B124" s="1">
        <v>0.03</v>
      </c>
    </row>
    <row r="125" spans="1:7" x14ac:dyDescent="0.25">
      <c r="A125" t="s">
        <v>147</v>
      </c>
      <c r="B125">
        <v>10</v>
      </c>
      <c r="C125" t="s">
        <v>148</v>
      </c>
    </row>
    <row r="126" spans="1:7" x14ac:dyDescent="0.25">
      <c r="A126" t="s">
        <v>149</v>
      </c>
      <c r="B126">
        <v>1000000</v>
      </c>
      <c r="D126" t="s">
        <v>152</v>
      </c>
      <c r="E126">
        <v>779197.3885</v>
      </c>
      <c r="F126" t="s">
        <v>153</v>
      </c>
      <c r="G126">
        <v>-0.15202417600000001</v>
      </c>
    </row>
    <row r="128" spans="1:7" x14ac:dyDescent="0.25">
      <c r="A128" t="s">
        <v>150</v>
      </c>
    </row>
    <row r="129" spans="1:7" x14ac:dyDescent="0.25">
      <c r="A129" t="s">
        <v>146</v>
      </c>
      <c r="B129" s="1">
        <v>7.0000000000000007E-2</v>
      </c>
    </row>
    <row r="130" spans="1:7" x14ac:dyDescent="0.25">
      <c r="A130" t="s">
        <v>147</v>
      </c>
      <c r="B130">
        <v>10</v>
      </c>
      <c r="C130" t="s">
        <v>148</v>
      </c>
    </row>
    <row r="131" spans="1:7" x14ac:dyDescent="0.25">
      <c r="A131" t="s">
        <v>149</v>
      </c>
      <c r="B131">
        <v>1000000</v>
      </c>
      <c r="E131">
        <v>1073600.871</v>
      </c>
      <c r="G131">
        <v>-0.136509559</v>
      </c>
    </row>
    <row r="135" spans="1:7" x14ac:dyDescent="0.25">
      <c r="A135" s="8" t="s">
        <v>77</v>
      </c>
    </row>
    <row r="136" spans="1:7" x14ac:dyDescent="0.25">
      <c r="A136" t="s">
        <v>151</v>
      </c>
      <c r="B136" s="1">
        <v>0.04</v>
      </c>
    </row>
    <row r="137" spans="1:7" x14ac:dyDescent="0.25">
      <c r="A137" t="s">
        <v>154</v>
      </c>
    </row>
    <row r="138" spans="1:7" x14ac:dyDescent="0.25">
      <c r="A138" t="s">
        <v>155</v>
      </c>
      <c r="B138">
        <v>2</v>
      </c>
      <c r="C138" t="s">
        <v>156</v>
      </c>
    </row>
    <row r="139" spans="1:7" x14ac:dyDescent="0.25">
      <c r="A139" t="s">
        <v>157</v>
      </c>
      <c r="B139" s="1">
        <v>0.02</v>
      </c>
      <c r="C139" t="s">
        <v>148</v>
      </c>
    </row>
    <row r="140" spans="1:7" x14ac:dyDescent="0.25">
      <c r="D140" t="s">
        <v>152</v>
      </c>
      <c r="E140">
        <v>100</v>
      </c>
    </row>
    <row r="142" spans="1:7" x14ac:dyDescent="0.25">
      <c r="A142" t="s">
        <v>158</v>
      </c>
    </row>
    <row r="143" spans="1:7" x14ac:dyDescent="0.25">
      <c r="A143" t="s">
        <v>155</v>
      </c>
      <c r="B143">
        <v>2</v>
      </c>
      <c r="C143" t="s">
        <v>156</v>
      </c>
    </row>
    <row r="144" spans="1:7" x14ac:dyDescent="0.25">
      <c r="A144" t="s">
        <v>157</v>
      </c>
      <c r="B144" s="1">
        <v>0</v>
      </c>
      <c r="C144" t="s">
        <v>148</v>
      </c>
    </row>
    <row r="145" spans="1:7" x14ac:dyDescent="0.25">
      <c r="D145" t="s">
        <v>152</v>
      </c>
      <c r="E145">
        <v>50</v>
      </c>
    </row>
    <row r="147" spans="1:7" x14ac:dyDescent="0.25">
      <c r="A147" t="s">
        <v>159</v>
      </c>
    </row>
    <row r="148" spans="1:7" x14ac:dyDescent="0.25">
      <c r="A148" t="s">
        <v>155</v>
      </c>
      <c r="B148">
        <v>2</v>
      </c>
      <c r="C148" t="s">
        <v>156</v>
      </c>
    </row>
    <row r="149" spans="1:7" x14ac:dyDescent="0.25">
      <c r="A149" t="s">
        <v>157</v>
      </c>
      <c r="B149" s="1">
        <v>-0.02</v>
      </c>
      <c r="C149" t="s">
        <v>148</v>
      </c>
    </row>
    <row r="150" spans="1:7" x14ac:dyDescent="0.25">
      <c r="D150" t="s">
        <v>152</v>
      </c>
      <c r="E150">
        <v>33.333333330000002</v>
      </c>
    </row>
    <row r="152" spans="1:7" x14ac:dyDescent="0.25">
      <c r="A152" t="s">
        <v>151</v>
      </c>
      <c r="B152" s="1">
        <v>0.03</v>
      </c>
    </row>
    <row r="153" spans="1:7" x14ac:dyDescent="0.25">
      <c r="A153" t="s">
        <v>154</v>
      </c>
    </row>
    <row r="154" spans="1:7" x14ac:dyDescent="0.25">
      <c r="A154" t="s">
        <v>155</v>
      </c>
      <c r="B154">
        <v>2</v>
      </c>
      <c r="C154" t="s">
        <v>156</v>
      </c>
    </row>
    <row r="155" spans="1:7" x14ac:dyDescent="0.25">
      <c r="A155" t="s">
        <v>157</v>
      </c>
      <c r="B155" s="1">
        <v>0.02</v>
      </c>
      <c r="C155" t="s">
        <v>148</v>
      </c>
    </row>
    <row r="156" spans="1:7" x14ac:dyDescent="0.25">
      <c r="D156" t="s">
        <v>152</v>
      </c>
      <c r="E156">
        <v>200</v>
      </c>
      <c r="F156" t="s">
        <v>153</v>
      </c>
      <c r="G156">
        <v>1</v>
      </c>
    </row>
    <row r="158" spans="1:7" x14ac:dyDescent="0.25">
      <c r="A158" t="s">
        <v>158</v>
      </c>
    </row>
    <row r="159" spans="1:7" x14ac:dyDescent="0.25">
      <c r="A159" t="s">
        <v>155</v>
      </c>
      <c r="B159">
        <v>2</v>
      </c>
      <c r="C159" t="s">
        <v>156</v>
      </c>
    </row>
    <row r="160" spans="1:7" x14ac:dyDescent="0.25">
      <c r="A160" t="s">
        <v>157</v>
      </c>
      <c r="B160" s="1">
        <v>0</v>
      </c>
      <c r="C160" t="s">
        <v>148</v>
      </c>
    </row>
    <row r="161" spans="1:7" x14ac:dyDescent="0.25">
      <c r="D161" t="s">
        <v>152</v>
      </c>
      <c r="E161">
        <v>66.666666669999998</v>
      </c>
      <c r="G161">
        <v>0.33333333300000001</v>
      </c>
    </row>
    <row r="163" spans="1:7" x14ac:dyDescent="0.25">
      <c r="A163" t="s">
        <v>159</v>
      </c>
    </row>
    <row r="164" spans="1:7" x14ac:dyDescent="0.25">
      <c r="A164" t="s">
        <v>155</v>
      </c>
      <c r="B164">
        <v>2</v>
      </c>
      <c r="C164" t="s">
        <v>156</v>
      </c>
    </row>
    <row r="165" spans="1:7" x14ac:dyDescent="0.25">
      <c r="A165" t="s">
        <v>157</v>
      </c>
      <c r="B165" s="1">
        <v>-0.02</v>
      </c>
      <c r="C165" t="s">
        <v>148</v>
      </c>
    </row>
    <row r="166" spans="1:7" x14ac:dyDescent="0.25">
      <c r="D166" t="s">
        <v>152</v>
      </c>
      <c r="E166">
        <v>40</v>
      </c>
      <c r="G166">
        <v>0.2</v>
      </c>
    </row>
    <row r="169" spans="1:7" x14ac:dyDescent="0.25">
      <c r="A169" t="s">
        <v>151</v>
      </c>
      <c r="B169" s="1">
        <v>0.05</v>
      </c>
    </row>
    <row r="170" spans="1:7" x14ac:dyDescent="0.25">
      <c r="A170" t="s">
        <v>154</v>
      </c>
    </row>
    <row r="171" spans="1:7" x14ac:dyDescent="0.25">
      <c r="A171" t="s">
        <v>155</v>
      </c>
      <c r="B171">
        <v>2</v>
      </c>
      <c r="C171" t="s">
        <v>156</v>
      </c>
    </row>
    <row r="172" spans="1:7" x14ac:dyDescent="0.25">
      <c r="A172" t="s">
        <v>157</v>
      </c>
      <c r="B172" s="1">
        <v>0.02</v>
      </c>
      <c r="C172" t="s">
        <v>148</v>
      </c>
    </row>
    <row r="173" spans="1:7" x14ac:dyDescent="0.25">
      <c r="D173" t="s">
        <v>152</v>
      </c>
      <c r="E173">
        <v>66.666666669999998</v>
      </c>
      <c r="F173" t="s">
        <v>153</v>
      </c>
      <c r="G173">
        <v>-0.33333333300000001</v>
      </c>
    </row>
    <row r="175" spans="1:7" x14ac:dyDescent="0.25">
      <c r="A175" t="s">
        <v>158</v>
      </c>
    </row>
    <row r="176" spans="1:7" x14ac:dyDescent="0.25">
      <c r="A176" t="s">
        <v>155</v>
      </c>
      <c r="B176">
        <v>2</v>
      </c>
      <c r="C176" t="s">
        <v>156</v>
      </c>
    </row>
    <row r="177" spans="1:7" x14ac:dyDescent="0.25">
      <c r="A177" t="s">
        <v>157</v>
      </c>
      <c r="B177" s="1">
        <v>0</v>
      </c>
      <c r="C177" t="s">
        <v>148</v>
      </c>
    </row>
    <row r="178" spans="1:7" x14ac:dyDescent="0.25">
      <c r="D178" t="s">
        <v>152</v>
      </c>
      <c r="E178">
        <v>40</v>
      </c>
      <c r="G178">
        <v>-0.2</v>
      </c>
    </row>
    <row r="180" spans="1:7" x14ac:dyDescent="0.25">
      <c r="A180" t="s">
        <v>159</v>
      </c>
    </row>
    <row r="181" spans="1:7" x14ac:dyDescent="0.25">
      <c r="A181" t="s">
        <v>155</v>
      </c>
      <c r="B181">
        <v>2</v>
      </c>
      <c r="C181" t="s">
        <v>156</v>
      </c>
    </row>
    <row r="182" spans="1:7" x14ac:dyDescent="0.25">
      <c r="A182" t="s">
        <v>157</v>
      </c>
      <c r="B182" s="1">
        <v>-0.02</v>
      </c>
      <c r="C182" t="s">
        <v>148</v>
      </c>
    </row>
    <row r="183" spans="1:7" x14ac:dyDescent="0.25">
      <c r="D183" t="s">
        <v>152</v>
      </c>
      <c r="E183">
        <v>28.571428569999998</v>
      </c>
      <c r="G183">
        <v>-0.14285714299999999</v>
      </c>
    </row>
    <row r="185" spans="1:7" x14ac:dyDescent="0.25">
      <c r="A185" s="8" t="s">
        <v>169</v>
      </c>
    </row>
    <row r="186" spans="1:7" x14ac:dyDescent="0.25">
      <c r="A186" s="11" t="s">
        <v>206</v>
      </c>
      <c r="B186" s="12">
        <v>1000</v>
      </c>
    </row>
    <row r="187" spans="1:7" x14ac:dyDescent="0.25">
      <c r="A187" s="11" t="s">
        <v>207</v>
      </c>
      <c r="B187" s="13">
        <v>0.2</v>
      </c>
    </row>
    <row r="188" spans="1:7" x14ac:dyDescent="0.25">
      <c r="A188" s="11" t="s">
        <v>208</v>
      </c>
      <c r="B188" s="13">
        <v>0.05</v>
      </c>
    </row>
    <row r="189" spans="1:7" x14ac:dyDescent="0.25">
      <c r="A189" s="11" t="s">
        <v>209</v>
      </c>
      <c r="B189" s="12">
        <v>30</v>
      </c>
      <c r="C189" s="8" t="s">
        <v>5</v>
      </c>
    </row>
    <row r="190" spans="1:7" x14ac:dyDescent="0.25">
      <c r="A190" s="11" t="s">
        <v>210</v>
      </c>
      <c r="B190" s="12">
        <f>B186*(1+B187)^B189</f>
        <v>237376.31379976968</v>
      </c>
    </row>
    <row r="191" spans="1:7" x14ac:dyDescent="0.25">
      <c r="A191" s="11" t="s">
        <v>211</v>
      </c>
      <c r="B191" s="12">
        <f>B186*(1+B188)^B189</f>
        <v>4321.9423751506629</v>
      </c>
    </row>
    <row r="192" spans="1:7" x14ac:dyDescent="0.25">
      <c r="A192" s="11" t="s">
        <v>212</v>
      </c>
      <c r="B192" s="12">
        <f>B190-B191</f>
        <v>233054.37142461902</v>
      </c>
    </row>
    <row r="193" spans="1:2" x14ac:dyDescent="0.25">
      <c r="A193" s="12"/>
      <c r="B193" s="1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1"/>
  <sheetViews>
    <sheetView workbookViewId="0">
      <selection activeCell="L40" sqref="L40"/>
    </sheetView>
  </sheetViews>
  <sheetFormatPr defaultRowHeight="12.5" x14ac:dyDescent="0.25"/>
  <cols>
    <col min="1" max="1" width="31.1796875" customWidth="1"/>
    <col min="6" max="6" width="30.26953125" customWidth="1"/>
    <col min="7" max="7" width="12" customWidth="1"/>
  </cols>
  <sheetData>
    <row r="1" spans="1:2" x14ac:dyDescent="0.25">
      <c r="A1" s="8" t="s">
        <v>204</v>
      </c>
    </row>
    <row r="2" spans="1:2" x14ac:dyDescent="0.25">
      <c r="A2" s="8" t="s">
        <v>172</v>
      </c>
      <c r="B2" s="2">
        <f>2%+4%</f>
        <v>0.06</v>
      </c>
    </row>
    <row r="3" spans="1:2" x14ac:dyDescent="0.25">
      <c r="A3" s="8" t="s">
        <v>173</v>
      </c>
      <c r="B3">
        <f>0.5*3%+0.5*B2</f>
        <v>4.4999999999999998E-2</v>
      </c>
    </row>
    <row r="4" spans="1:2" x14ac:dyDescent="0.25">
      <c r="A4" s="8" t="s">
        <v>174</v>
      </c>
      <c r="B4">
        <f>3/B3+2/(B3-4%)</f>
        <v>466.66666666666691</v>
      </c>
    </row>
    <row r="5" spans="1:2" x14ac:dyDescent="0.25">
      <c r="A5" s="8" t="s">
        <v>175</v>
      </c>
      <c r="B5">
        <f>100+100</f>
        <v>200</v>
      </c>
    </row>
    <row r="6" spans="1:2" x14ac:dyDescent="0.25">
      <c r="A6" s="8"/>
    </row>
    <row r="7" spans="1:2" x14ac:dyDescent="0.25">
      <c r="A7" s="8"/>
    </row>
    <row r="8" spans="1:2" x14ac:dyDescent="0.25">
      <c r="A8" s="8" t="s">
        <v>205</v>
      </c>
    </row>
    <row r="9" spans="1:2" x14ac:dyDescent="0.25">
      <c r="A9" s="8" t="s">
        <v>172</v>
      </c>
      <c r="B9" s="2">
        <f>3%+4%</f>
        <v>7.0000000000000007E-2</v>
      </c>
    </row>
    <row r="10" spans="1:2" x14ac:dyDescent="0.25">
      <c r="A10" s="8" t="s">
        <v>173</v>
      </c>
      <c r="B10">
        <f>1/3*3%+2/3*B9</f>
        <v>5.6666666666666671E-2</v>
      </c>
    </row>
    <row r="11" spans="1:2" x14ac:dyDescent="0.25">
      <c r="A11" s="8" t="s">
        <v>174</v>
      </c>
      <c r="B11">
        <f>3/B10+6/(B10-4%)</f>
        <v>412.94117647058818</v>
      </c>
    </row>
    <row r="12" spans="1:2" x14ac:dyDescent="0.25">
      <c r="A12" s="8" t="s">
        <v>175</v>
      </c>
      <c r="B12">
        <f>100+200</f>
        <v>300</v>
      </c>
    </row>
    <row r="13" spans="1:2" x14ac:dyDescent="0.25">
      <c r="A13" s="8"/>
    </row>
    <row r="14" spans="1:2" x14ac:dyDescent="0.25">
      <c r="A14" s="8"/>
    </row>
    <row r="15" spans="1:2" x14ac:dyDescent="0.25">
      <c r="A15" s="8"/>
    </row>
    <row r="16" spans="1:2" x14ac:dyDescent="0.25">
      <c r="A16" s="8"/>
    </row>
    <row r="17" spans="1:9" x14ac:dyDescent="0.25">
      <c r="A17" s="8"/>
    </row>
    <row r="18" spans="1:9" x14ac:dyDescent="0.25">
      <c r="A18" s="8"/>
    </row>
    <row r="19" spans="1:9" x14ac:dyDescent="0.25">
      <c r="A19" s="8" t="s">
        <v>227</v>
      </c>
    </row>
    <row r="20" spans="1:9" x14ac:dyDescent="0.25">
      <c r="A20" s="8" t="s">
        <v>128</v>
      </c>
      <c r="B20" s="1">
        <v>0.02</v>
      </c>
      <c r="F20" s="8" t="s">
        <v>128</v>
      </c>
      <c r="G20" s="1">
        <v>0.02</v>
      </c>
    </row>
    <row r="21" spans="1:9" x14ac:dyDescent="0.25">
      <c r="A21" s="8" t="s">
        <v>213</v>
      </c>
      <c r="B21" s="2">
        <v>2.5000000000000001E-2</v>
      </c>
      <c r="F21" s="8" t="s">
        <v>213</v>
      </c>
      <c r="G21" s="2">
        <v>0.02</v>
      </c>
    </row>
    <row r="22" spans="1:9" x14ac:dyDescent="0.25">
      <c r="A22" s="8" t="s">
        <v>109</v>
      </c>
      <c r="B22">
        <v>25</v>
      </c>
      <c r="F22" s="8" t="s">
        <v>109</v>
      </c>
      <c r="G22">
        <v>25</v>
      </c>
    </row>
    <row r="23" spans="1:9" x14ac:dyDescent="0.25">
      <c r="A23" s="8" t="s">
        <v>214</v>
      </c>
      <c r="F23" s="8" t="s">
        <v>214</v>
      </c>
    </row>
    <row r="24" spans="1:9" x14ac:dyDescent="0.25">
      <c r="A24" s="8" t="s">
        <v>80</v>
      </c>
      <c r="B24">
        <v>42</v>
      </c>
      <c r="C24" t="s">
        <v>111</v>
      </c>
      <c r="D24" s="1">
        <v>0.8</v>
      </c>
      <c r="F24" s="8" t="s">
        <v>80</v>
      </c>
      <c r="G24">
        <v>40</v>
      </c>
      <c r="H24" t="s">
        <v>111</v>
      </c>
      <c r="I24" s="1">
        <v>0.8</v>
      </c>
    </row>
    <row r="25" spans="1:9" x14ac:dyDescent="0.25">
      <c r="A25" s="8" t="s">
        <v>81</v>
      </c>
      <c r="B25">
        <v>20</v>
      </c>
      <c r="C25" t="s">
        <v>111</v>
      </c>
      <c r="D25" s="1">
        <v>0.2</v>
      </c>
      <c r="F25" s="8" t="s">
        <v>81</v>
      </c>
      <c r="G25">
        <v>20</v>
      </c>
      <c r="H25" t="s">
        <v>111</v>
      </c>
      <c r="I25" s="1">
        <v>0.2</v>
      </c>
    </row>
    <row r="26" spans="1:9" x14ac:dyDescent="0.25">
      <c r="A26" s="8" t="s">
        <v>113</v>
      </c>
      <c r="B26" s="1">
        <v>0.6</v>
      </c>
      <c r="F26" s="8" t="s">
        <v>113</v>
      </c>
      <c r="G26" s="1">
        <v>0.6</v>
      </c>
    </row>
    <row r="27" spans="1:9" x14ac:dyDescent="0.25">
      <c r="A27" s="8" t="s">
        <v>216</v>
      </c>
      <c r="B27">
        <f>B22*(1+B20+B21)</f>
        <v>26.125</v>
      </c>
      <c r="F27" s="8" t="s">
        <v>216</v>
      </c>
      <c r="G27">
        <f>G22*(1+G20+G21)</f>
        <v>26</v>
      </c>
    </row>
    <row r="28" spans="1:9" x14ac:dyDescent="0.25">
      <c r="A28" s="8" t="s">
        <v>114</v>
      </c>
      <c r="B28" s="2">
        <v>0.18625000000003497</v>
      </c>
      <c r="F28" s="8" t="s">
        <v>114</v>
      </c>
      <c r="G28" s="2">
        <v>0.18625000000003497</v>
      </c>
    </row>
    <row r="29" spans="1:9" x14ac:dyDescent="0.25">
      <c r="A29" s="8" t="s">
        <v>215</v>
      </c>
      <c r="B29">
        <f>B22*(1+B28)*D24+B25*B26*D25</f>
        <v>26.125000000000703</v>
      </c>
      <c r="F29" s="8" t="s">
        <v>215</v>
      </c>
      <c r="G29">
        <f>G22*(1+G28)*I24+G25*G26*I25</f>
        <v>26.125000000000703</v>
      </c>
    </row>
    <row r="30" spans="1:9" x14ac:dyDescent="0.25">
      <c r="A30" s="8" t="s">
        <v>226</v>
      </c>
      <c r="B30">
        <f>B24*D24+B25*D25</f>
        <v>37.6</v>
      </c>
      <c r="F30" s="8" t="s">
        <v>226</v>
      </c>
      <c r="G30">
        <f>G24*I24+G25*I25</f>
        <v>36</v>
      </c>
    </row>
    <row r="31" spans="1:9" x14ac:dyDescent="0.25">
      <c r="A31" s="8" t="s">
        <v>225</v>
      </c>
      <c r="B31">
        <f>(B24-B22*(1+B28))*D24</f>
        <v>9.8749999999993019</v>
      </c>
      <c r="F31" s="8" t="s">
        <v>225</v>
      </c>
      <c r="G31">
        <f>(G24-G22*(1+G28))*I24</f>
        <v>8.2749999999993005</v>
      </c>
    </row>
    <row r="32" spans="1:9" x14ac:dyDescent="0.25">
      <c r="A32" s="8"/>
      <c r="F32" s="8"/>
    </row>
    <row r="33" spans="1:9" x14ac:dyDescent="0.25">
      <c r="A33" s="8" t="s">
        <v>217</v>
      </c>
      <c r="B33">
        <v>10</v>
      </c>
      <c r="F33" s="8" t="s">
        <v>217</v>
      </c>
      <c r="G33">
        <v>10</v>
      </c>
    </row>
    <row r="34" spans="1:9" x14ac:dyDescent="0.25">
      <c r="A34" s="8" t="s">
        <v>218</v>
      </c>
      <c r="B34">
        <f>B22-B33</f>
        <v>15</v>
      </c>
      <c r="F34" s="8" t="s">
        <v>218</v>
      </c>
      <c r="G34">
        <f>G22-G33</f>
        <v>15</v>
      </c>
    </row>
    <row r="35" spans="1:9" x14ac:dyDescent="0.25">
      <c r="A35" s="8" t="s">
        <v>219</v>
      </c>
      <c r="B35">
        <f>B33*(1+B20+B21)</f>
        <v>10.45</v>
      </c>
      <c r="F35" s="8" t="s">
        <v>219</v>
      </c>
      <c r="G35">
        <f>G33*(1+G20+G21)</f>
        <v>10.4</v>
      </c>
    </row>
    <row r="36" spans="1:9" x14ac:dyDescent="0.25">
      <c r="A36" s="8" t="s">
        <v>220</v>
      </c>
      <c r="F36" s="8" t="s">
        <v>220</v>
      </c>
    </row>
    <row r="37" spans="1:9" x14ac:dyDescent="0.25">
      <c r="A37" s="8" t="s">
        <v>80</v>
      </c>
      <c r="B37">
        <f>B24-B$35</f>
        <v>31.55</v>
      </c>
      <c r="C37" t="s">
        <v>111</v>
      </c>
      <c r="D37" s="1">
        <v>0.8</v>
      </c>
      <c r="F37" s="8" t="s">
        <v>80</v>
      </c>
      <c r="G37">
        <f>G24-G$35</f>
        <v>29.6</v>
      </c>
      <c r="H37" t="s">
        <v>111</v>
      </c>
      <c r="I37" s="1">
        <v>0.8</v>
      </c>
    </row>
    <row r="38" spans="1:9" x14ac:dyDescent="0.25">
      <c r="A38" s="8" t="s">
        <v>81</v>
      </c>
      <c r="B38">
        <f>B25-B$35</f>
        <v>9.5500000000000007</v>
      </c>
      <c r="C38" t="s">
        <v>111</v>
      </c>
      <c r="D38" s="1">
        <v>0.2</v>
      </c>
      <c r="F38" s="8" t="s">
        <v>81</v>
      </c>
      <c r="G38">
        <f>G25-G$35</f>
        <v>9.6</v>
      </c>
      <c r="H38" t="s">
        <v>111</v>
      </c>
      <c r="I38" s="1">
        <v>0.2</v>
      </c>
    </row>
    <row r="39" spans="1:9" x14ac:dyDescent="0.25">
      <c r="A39" s="8" t="s">
        <v>221</v>
      </c>
      <c r="B39">
        <f>B37*D37+B38*D38</f>
        <v>27.150000000000002</v>
      </c>
      <c r="F39" s="8" t="s">
        <v>221</v>
      </c>
      <c r="G39">
        <f>G37*I37+G38*I38</f>
        <v>25.6</v>
      </c>
    </row>
    <row r="40" spans="1:9" x14ac:dyDescent="0.25">
      <c r="A40" s="8" t="s">
        <v>222</v>
      </c>
      <c r="B40" s="1">
        <v>0.1</v>
      </c>
      <c r="F40" s="8" t="s">
        <v>222</v>
      </c>
      <c r="G40" s="1">
        <v>0.1</v>
      </c>
    </row>
    <row r="41" spans="1:9" x14ac:dyDescent="0.25">
      <c r="A41" s="8" t="s">
        <v>223</v>
      </c>
      <c r="B41">
        <f>B34*(1+B40)</f>
        <v>16.5</v>
      </c>
      <c r="F41" s="8" t="s">
        <v>223</v>
      </c>
      <c r="G41">
        <f>G34*(1+G40)</f>
        <v>16.5</v>
      </c>
    </row>
    <row r="42" spans="1:9" x14ac:dyDescent="0.25">
      <c r="A42" s="8" t="s">
        <v>224</v>
      </c>
      <c r="B42">
        <f>B41/B39</f>
        <v>0.60773480662983426</v>
      </c>
      <c r="F42" s="8" t="s">
        <v>224</v>
      </c>
      <c r="G42">
        <f>G41/G39</f>
        <v>0.64453125</v>
      </c>
      <c r="I42" t="s">
        <v>228</v>
      </c>
    </row>
    <row r="43" spans="1:9" x14ac:dyDescent="0.25">
      <c r="A43" s="8" t="s">
        <v>225</v>
      </c>
      <c r="B43">
        <f>B39-B41</f>
        <v>10.650000000000002</v>
      </c>
      <c r="F43" s="8" t="s">
        <v>225</v>
      </c>
      <c r="G43">
        <f>G39-G41</f>
        <v>9.1000000000000014</v>
      </c>
      <c r="I43">
        <f>G43/(1+G40)</f>
        <v>8.2727272727272734</v>
      </c>
    </row>
    <row r="44" spans="1:9" x14ac:dyDescent="0.25">
      <c r="A44" s="8"/>
      <c r="F44" s="8"/>
    </row>
    <row r="45" spans="1:9" x14ac:dyDescent="0.25">
      <c r="A45" s="8"/>
      <c r="F45" s="8"/>
    </row>
    <row r="46" spans="1:9" x14ac:dyDescent="0.25">
      <c r="A46" s="8" t="s">
        <v>218</v>
      </c>
      <c r="B46">
        <v>25</v>
      </c>
      <c r="F46" s="8" t="s">
        <v>218</v>
      </c>
      <c r="G46">
        <v>25</v>
      </c>
    </row>
    <row r="47" spans="1:9" x14ac:dyDescent="0.25">
      <c r="A47" s="8" t="s">
        <v>222</v>
      </c>
      <c r="B47" s="1">
        <v>0.09</v>
      </c>
      <c r="F47" s="8" t="s">
        <v>222</v>
      </c>
      <c r="G47" s="1">
        <v>0.09</v>
      </c>
    </row>
    <row r="48" spans="1:9" x14ac:dyDescent="0.25">
      <c r="A48" s="8" t="s">
        <v>223</v>
      </c>
      <c r="B48">
        <f>B46*(1+B47)</f>
        <v>27.250000000000004</v>
      </c>
      <c r="F48" s="8" t="s">
        <v>223</v>
      </c>
      <c r="G48">
        <f>G46*(1+G47)</f>
        <v>27.250000000000004</v>
      </c>
    </row>
    <row r="49" spans="1:9" x14ac:dyDescent="0.25">
      <c r="A49" s="8" t="s">
        <v>226</v>
      </c>
      <c r="B49">
        <f>B24*D24+B25*D25</f>
        <v>37.6</v>
      </c>
      <c r="F49" s="8" t="s">
        <v>226</v>
      </c>
      <c r="G49">
        <f>G24*I24+G25*I25</f>
        <v>36</v>
      </c>
    </row>
    <row r="50" spans="1:9" x14ac:dyDescent="0.25">
      <c r="A50" s="8" t="s">
        <v>224</v>
      </c>
      <c r="B50">
        <f>B48/B49</f>
        <v>0.72473404255319152</v>
      </c>
      <c r="F50" s="8" t="s">
        <v>224</v>
      </c>
      <c r="G50">
        <f>G48/G49</f>
        <v>0.75694444444444453</v>
      </c>
      <c r="I50" t="s">
        <v>228</v>
      </c>
    </row>
    <row r="51" spans="1:9" x14ac:dyDescent="0.25">
      <c r="A51" s="8" t="s">
        <v>225</v>
      </c>
      <c r="B51">
        <f>B49-B48</f>
        <v>10.349999999999998</v>
      </c>
      <c r="F51" s="8" t="s">
        <v>225</v>
      </c>
      <c r="G51">
        <f>G49-G48</f>
        <v>8.7499999999999964</v>
      </c>
      <c r="I51">
        <f>G51/(1+G47)</f>
        <v>8.0275229357798121</v>
      </c>
    </row>
    <row r="52" spans="1:9" x14ac:dyDescent="0.25">
      <c r="A52" s="8"/>
    </row>
    <row r="53" spans="1:9" x14ac:dyDescent="0.25">
      <c r="A53" s="8"/>
    </row>
    <row r="54" spans="1:9" x14ac:dyDescent="0.25">
      <c r="A54" s="8"/>
    </row>
    <row r="55" spans="1:9" x14ac:dyDescent="0.25">
      <c r="A55" s="8"/>
    </row>
    <row r="56" spans="1:9" x14ac:dyDescent="0.25">
      <c r="A56" s="8"/>
    </row>
    <row r="57" spans="1:9" x14ac:dyDescent="0.25">
      <c r="A57" s="8"/>
    </row>
    <row r="58" spans="1:9" x14ac:dyDescent="0.25">
      <c r="A58" s="8"/>
    </row>
    <row r="59" spans="1:9" x14ac:dyDescent="0.25">
      <c r="A59" s="8"/>
    </row>
    <row r="60" spans="1:9" x14ac:dyDescent="0.25">
      <c r="A60" s="8"/>
    </row>
    <row r="61" spans="1:9" x14ac:dyDescent="0.25">
      <c r="A61" s="8"/>
    </row>
    <row r="62" spans="1:9" x14ac:dyDescent="0.25">
      <c r="A62" s="8"/>
    </row>
    <row r="63" spans="1:9" x14ac:dyDescent="0.25">
      <c r="A63" s="8"/>
    </row>
    <row r="64" spans="1:9" x14ac:dyDescent="0.25">
      <c r="A64" s="8"/>
    </row>
    <row r="65" spans="1:1" x14ac:dyDescent="0.25">
      <c r="A65" s="8"/>
    </row>
    <row r="66" spans="1:1" x14ac:dyDescent="0.25">
      <c r="A66" s="8"/>
    </row>
    <row r="67" spans="1:1" x14ac:dyDescent="0.25">
      <c r="A67" s="8"/>
    </row>
    <row r="68" spans="1:1" x14ac:dyDescent="0.25">
      <c r="A68" s="8"/>
    </row>
    <row r="69" spans="1:1" x14ac:dyDescent="0.25">
      <c r="A69" s="8"/>
    </row>
    <row r="70" spans="1:1" x14ac:dyDescent="0.25">
      <c r="A70" s="8"/>
    </row>
    <row r="71" spans="1:1" x14ac:dyDescent="0.25">
      <c r="A71" s="8"/>
    </row>
    <row r="72" spans="1:1" x14ac:dyDescent="0.25">
      <c r="A72" s="8"/>
    </row>
    <row r="73" spans="1:1" x14ac:dyDescent="0.25">
      <c r="A73" s="8"/>
    </row>
    <row r="74" spans="1:1" x14ac:dyDescent="0.25">
      <c r="A74" s="8"/>
    </row>
    <row r="75" spans="1:1" x14ac:dyDescent="0.25">
      <c r="A75" s="8"/>
    </row>
    <row r="76" spans="1:1" x14ac:dyDescent="0.25">
      <c r="A76" s="8"/>
    </row>
    <row r="77" spans="1:1" x14ac:dyDescent="0.25">
      <c r="A77" s="8"/>
    </row>
    <row r="78" spans="1:1" x14ac:dyDescent="0.25">
      <c r="A78" s="8"/>
    </row>
    <row r="79" spans="1:1" x14ac:dyDescent="0.25">
      <c r="A79" s="8"/>
    </row>
    <row r="80" spans="1:1" x14ac:dyDescent="0.25">
      <c r="A80" s="8"/>
    </row>
    <row r="83" spans="1:3" x14ac:dyDescent="0.25">
      <c r="A83" s="8" t="s">
        <v>203</v>
      </c>
    </row>
    <row r="84" spans="1:3" x14ac:dyDescent="0.25">
      <c r="A84" t="s">
        <v>37</v>
      </c>
      <c r="B84" s="1">
        <v>0.13</v>
      </c>
    </row>
    <row r="85" spans="1:3" x14ac:dyDescent="0.25">
      <c r="A85" t="s">
        <v>19</v>
      </c>
      <c r="B85">
        <v>6</v>
      </c>
      <c r="C85" t="s">
        <v>148</v>
      </c>
    </row>
    <row r="86" spans="1:3" x14ac:dyDescent="0.25">
      <c r="A86" t="s">
        <v>182</v>
      </c>
      <c r="B86">
        <v>5</v>
      </c>
      <c r="C86" t="s">
        <v>79</v>
      </c>
    </row>
    <row r="87" spans="1:3" x14ac:dyDescent="0.25">
      <c r="A87" t="s">
        <v>13</v>
      </c>
      <c r="B87" s="1">
        <v>0.6</v>
      </c>
    </row>
    <row r="88" spans="1:3" x14ac:dyDescent="0.25">
      <c r="A88" t="s">
        <v>183</v>
      </c>
      <c r="B88">
        <f>B86*(1-B87)</f>
        <v>2</v>
      </c>
    </row>
    <row r="89" spans="1:3" x14ac:dyDescent="0.25">
      <c r="A89" t="s">
        <v>184</v>
      </c>
      <c r="B89">
        <f>B88/B84*(1-1/(1+B84)^B85)</f>
        <v>7.9950995779516836</v>
      </c>
    </row>
    <row r="90" spans="1:3" x14ac:dyDescent="0.25">
      <c r="A90" t="s">
        <v>185</v>
      </c>
      <c r="B90">
        <f>B89-8</f>
        <v>-4.9004220483164218E-3</v>
      </c>
    </row>
    <row r="92" spans="1:3" x14ac:dyDescent="0.25">
      <c r="A92" t="s">
        <v>186</v>
      </c>
      <c r="B92">
        <v>4</v>
      </c>
      <c r="C92" t="s">
        <v>79</v>
      </c>
    </row>
    <row r="93" spans="1:3" x14ac:dyDescent="0.25">
      <c r="A93" t="s">
        <v>187</v>
      </c>
    </row>
    <row r="94" spans="1:3" x14ac:dyDescent="0.25">
      <c r="A94" t="s">
        <v>188</v>
      </c>
      <c r="B94" s="1">
        <v>0.13</v>
      </c>
    </row>
    <row r="95" spans="1:3" x14ac:dyDescent="0.25">
      <c r="A95" t="s">
        <v>189</v>
      </c>
      <c r="B95">
        <f>B92*B94/(1-1/(1+B94)^B85)</f>
        <v>1.0006129282069018</v>
      </c>
    </row>
    <row r="97" spans="1:10" x14ac:dyDescent="0.25">
      <c r="A97" t="s">
        <v>190</v>
      </c>
      <c r="B97" s="1">
        <v>0.5</v>
      </c>
    </row>
    <row r="99" spans="1:10" x14ac:dyDescent="0.25">
      <c r="A99" t="s">
        <v>191</v>
      </c>
      <c r="B99">
        <v>4</v>
      </c>
      <c r="C99">
        <v>5</v>
      </c>
      <c r="D99">
        <v>6</v>
      </c>
      <c r="E99" t="s">
        <v>79</v>
      </c>
    </row>
    <row r="100" spans="1:10" x14ac:dyDescent="0.25">
      <c r="A100" t="s">
        <v>192</v>
      </c>
      <c r="B100" s="4">
        <f>B99*(1-$B87)-$B95</f>
        <v>0.59938707179309825</v>
      </c>
      <c r="C100" s="4">
        <f>C99*(1-$B87)-$B95</f>
        <v>0.99938707179309816</v>
      </c>
      <c r="D100" s="4">
        <f>D99*(1-$B87)-$B95</f>
        <v>1.3993870717930985</v>
      </c>
    </row>
    <row r="101" spans="1:10" x14ac:dyDescent="0.25">
      <c r="A101" t="s">
        <v>193</v>
      </c>
      <c r="B101">
        <f>B99*(1-$B87)*(1-$B97)</f>
        <v>0.8</v>
      </c>
      <c r="C101">
        <f>C99*(1-$B87)*(1-$B97)</f>
        <v>1</v>
      </c>
      <c r="D101">
        <f>D99*(1-$B87)*(1-$B97)</f>
        <v>1.2000000000000002</v>
      </c>
    </row>
    <row r="104" spans="1:10" x14ac:dyDescent="0.25">
      <c r="A104" s="8" t="s">
        <v>171</v>
      </c>
    </row>
    <row r="105" spans="1:10" x14ac:dyDescent="0.25">
      <c r="A105" t="s">
        <v>141</v>
      </c>
    </row>
    <row r="106" spans="1:10" x14ac:dyDescent="0.25">
      <c r="A106" t="s">
        <v>125</v>
      </c>
      <c r="B106">
        <v>1</v>
      </c>
      <c r="C106" t="s">
        <v>79</v>
      </c>
      <c r="D106">
        <v>1</v>
      </c>
      <c r="E106" t="s">
        <v>79</v>
      </c>
      <c r="G106">
        <v>1</v>
      </c>
      <c r="H106" t="s">
        <v>79</v>
      </c>
      <c r="I106">
        <v>1</v>
      </c>
      <c r="J106" t="s">
        <v>79</v>
      </c>
    </row>
    <row r="107" spans="1:10" x14ac:dyDescent="0.25">
      <c r="A107" t="s">
        <v>126</v>
      </c>
      <c r="B107">
        <v>0.25</v>
      </c>
      <c r="D107">
        <f>B107</f>
        <v>0.25</v>
      </c>
      <c r="G107">
        <v>0.25</v>
      </c>
      <c r="I107">
        <f>G107</f>
        <v>0.25</v>
      </c>
    </row>
    <row r="108" spans="1:10" x14ac:dyDescent="0.25">
      <c r="A108" t="s">
        <v>109</v>
      </c>
      <c r="B108">
        <f>B106-B107</f>
        <v>0.75</v>
      </c>
      <c r="D108">
        <f>B108</f>
        <v>0.75</v>
      </c>
      <c r="G108">
        <f>G106-G107</f>
        <v>0.75</v>
      </c>
      <c r="I108">
        <f>G108</f>
        <v>0.75</v>
      </c>
    </row>
    <row r="109" spans="1:10" x14ac:dyDescent="0.25">
      <c r="A109" t="s">
        <v>128</v>
      </c>
      <c r="B109">
        <v>0.02</v>
      </c>
      <c r="D109">
        <f>B109</f>
        <v>0.02</v>
      </c>
      <c r="G109">
        <v>0.02</v>
      </c>
      <c r="I109">
        <f>G109</f>
        <v>0.02</v>
      </c>
    </row>
    <row r="111" spans="1:10" x14ac:dyDescent="0.25">
      <c r="A111" t="s">
        <v>111</v>
      </c>
      <c r="B111">
        <v>0.65</v>
      </c>
      <c r="C111">
        <f>1-B111</f>
        <v>0.35</v>
      </c>
      <c r="D111">
        <v>0.85</v>
      </c>
      <c r="E111">
        <f>1-D111</f>
        <v>0.15000000000000002</v>
      </c>
      <c r="G111">
        <v>0.65</v>
      </c>
      <c r="H111">
        <f>1-G111</f>
        <v>0.35</v>
      </c>
      <c r="I111">
        <v>0.85</v>
      </c>
      <c r="J111">
        <f>1-I111</f>
        <v>0.15000000000000002</v>
      </c>
    </row>
    <row r="112" spans="1:10" x14ac:dyDescent="0.25">
      <c r="A112" t="s">
        <v>110</v>
      </c>
      <c r="B112">
        <v>1.3</v>
      </c>
      <c r="C112">
        <v>0.7</v>
      </c>
      <c r="D112">
        <v>1.3</v>
      </c>
      <c r="E112">
        <v>0.7</v>
      </c>
      <c r="G112">
        <v>1.3</v>
      </c>
      <c r="H112">
        <v>0.7</v>
      </c>
      <c r="I112">
        <v>1.3</v>
      </c>
      <c r="J112">
        <v>0.7</v>
      </c>
    </row>
    <row r="113" spans="1:11" x14ac:dyDescent="0.25">
      <c r="A113" t="s">
        <v>112</v>
      </c>
      <c r="B113">
        <f>B111*B112+C111*C112</f>
        <v>1.0900000000000001</v>
      </c>
      <c r="D113">
        <f>D111*D112+E111*E112</f>
        <v>1.21</v>
      </c>
      <c r="G113">
        <f>G111*G112+H111*H112</f>
        <v>1.0900000000000001</v>
      </c>
      <c r="I113">
        <f>I111*I112+J111*J112</f>
        <v>1.21</v>
      </c>
    </row>
    <row r="114" spans="1:11" x14ac:dyDescent="0.25">
      <c r="A114" t="s">
        <v>130</v>
      </c>
      <c r="G114">
        <v>0.6</v>
      </c>
      <c r="I114">
        <f>1-G114</f>
        <v>0.4</v>
      </c>
      <c r="K114" t="s">
        <v>131</v>
      </c>
    </row>
    <row r="116" spans="1:11" x14ac:dyDescent="0.25">
      <c r="A116" t="s">
        <v>113</v>
      </c>
      <c r="B116" s="1">
        <v>0.7</v>
      </c>
      <c r="D116" s="1">
        <v>0.7</v>
      </c>
      <c r="G116" s="1">
        <v>0.7</v>
      </c>
      <c r="I116" s="1">
        <v>0.7</v>
      </c>
    </row>
    <row r="117" spans="1:11" x14ac:dyDescent="0.25">
      <c r="A117" t="s">
        <v>117</v>
      </c>
      <c r="B117" s="1">
        <v>0.02</v>
      </c>
      <c r="D117" s="1">
        <v>0.02</v>
      </c>
      <c r="G117" s="1">
        <v>0.02</v>
      </c>
      <c r="I117" s="1">
        <v>0.02</v>
      </c>
    </row>
    <row r="118" spans="1:11" x14ac:dyDescent="0.25">
      <c r="A118" t="s">
        <v>116</v>
      </c>
      <c r="B118" s="6">
        <f>B108*(1+B109+B117)</f>
        <v>0.78</v>
      </c>
      <c r="D118" s="6">
        <f>D108*(1+D109+D117)</f>
        <v>0.78</v>
      </c>
      <c r="G118" s="6">
        <f>G108*(1+G109+G117)</f>
        <v>0.78</v>
      </c>
      <c r="I118" s="6">
        <f>I108*(1+I109+I117)</f>
        <v>0.78</v>
      </c>
      <c r="K118">
        <f>(I108*(1+K120)*G111+H112*G116*H111)*G114+(I108*(1+K120)*I111+J112*I116*J111)*I114</f>
        <v>0.78</v>
      </c>
    </row>
    <row r="119" spans="1:11" x14ac:dyDescent="0.25">
      <c r="B119" s="4"/>
      <c r="D119" s="4"/>
      <c r="G119" s="4"/>
      <c r="I119" s="4"/>
    </row>
    <row r="120" spans="1:11" x14ac:dyDescent="0.25">
      <c r="A120" t="s">
        <v>114</v>
      </c>
      <c r="B120" s="1">
        <f>(B118-C112*B116*C111)/(B108*B111)-1</f>
        <v>0.24820512820512808</v>
      </c>
      <c r="D120" s="1">
        <f>(D118-E112*D116*E111)/(D108*D111)-1</f>
        <v>0.10823529411764721</v>
      </c>
      <c r="G120" s="1">
        <f>(G118-H112*G116*H111)/(G108*G111)-1</f>
        <v>0.24820512820512808</v>
      </c>
      <c r="I120" s="1">
        <f>(I118-J112*I116*J111)/(I108*I111)-1</f>
        <v>0.10823529411764721</v>
      </c>
      <c r="K120">
        <v>0.18301369863013711</v>
      </c>
    </row>
    <row r="122" spans="1:11" x14ac:dyDescent="0.25">
      <c r="A122" t="s">
        <v>127</v>
      </c>
      <c r="B122">
        <f>(B112-B108*(1+B120))*B111-B107*(1+B109)</f>
        <v>-1.8499999999999933E-2</v>
      </c>
      <c r="D122">
        <f>(D112-D108*(1+D120))*D111-D107*(1+D109)</f>
        <v>0.14349999999999991</v>
      </c>
      <c r="G122">
        <f>(G112-G108*(1+K120))*G111-G107*(1+G109)</f>
        <v>1.3280821917808161E-2</v>
      </c>
      <c r="I122">
        <f>(I112-I108*(1+K120))*I111-I107*(1+I109)</f>
        <v>9.5828767123287584E-2</v>
      </c>
    </row>
    <row r="125" spans="1:11" x14ac:dyDescent="0.25">
      <c r="A125" t="s">
        <v>125</v>
      </c>
      <c r="B125">
        <v>1</v>
      </c>
      <c r="C125" t="s">
        <v>79</v>
      </c>
      <c r="D125">
        <v>1</v>
      </c>
      <c r="E125" t="s">
        <v>79</v>
      </c>
      <c r="G125">
        <v>1</v>
      </c>
      <c r="H125" t="s">
        <v>79</v>
      </c>
      <c r="I125">
        <v>1</v>
      </c>
      <c r="J125" t="s">
        <v>79</v>
      </c>
    </row>
    <row r="126" spans="1:11" x14ac:dyDescent="0.25">
      <c r="A126" t="s">
        <v>126</v>
      </c>
      <c r="B126">
        <v>0.25</v>
      </c>
      <c r="D126">
        <f>B126</f>
        <v>0.25</v>
      </c>
      <c r="G126">
        <v>0.25</v>
      </c>
      <c r="I126">
        <f>G126</f>
        <v>0.25</v>
      </c>
    </row>
    <row r="127" spans="1:11" x14ac:dyDescent="0.25">
      <c r="A127" t="s">
        <v>109</v>
      </c>
      <c r="B127">
        <f>B125-B126</f>
        <v>0.75</v>
      </c>
      <c r="D127">
        <f>B127</f>
        <v>0.75</v>
      </c>
      <c r="G127">
        <f>G125-G126</f>
        <v>0.75</v>
      </c>
      <c r="I127">
        <f>G127</f>
        <v>0.75</v>
      </c>
    </row>
    <row r="128" spans="1:11" x14ac:dyDescent="0.25">
      <c r="A128" t="s">
        <v>128</v>
      </c>
      <c r="B128">
        <v>0.06</v>
      </c>
      <c r="D128">
        <f>B128</f>
        <v>0.06</v>
      </c>
      <c r="G128">
        <v>0.06</v>
      </c>
      <c r="I128">
        <f>G128</f>
        <v>0.06</v>
      </c>
    </row>
    <row r="130" spans="1:11" x14ac:dyDescent="0.25">
      <c r="A130" t="s">
        <v>111</v>
      </c>
      <c r="B130">
        <v>0.65</v>
      </c>
      <c r="C130">
        <f>1-B130</f>
        <v>0.35</v>
      </c>
      <c r="D130">
        <v>0.85</v>
      </c>
      <c r="E130">
        <f>1-D130</f>
        <v>0.15000000000000002</v>
      </c>
      <c r="G130">
        <v>0.65</v>
      </c>
      <c r="H130">
        <f>1-G130</f>
        <v>0.35</v>
      </c>
      <c r="I130">
        <v>0.85</v>
      </c>
      <c r="J130">
        <f>1-I130</f>
        <v>0.15000000000000002</v>
      </c>
    </row>
    <row r="131" spans="1:11" x14ac:dyDescent="0.25">
      <c r="A131" t="s">
        <v>110</v>
      </c>
      <c r="B131">
        <v>1.3</v>
      </c>
      <c r="C131">
        <v>0.7</v>
      </c>
      <c r="D131">
        <v>1.3</v>
      </c>
      <c r="E131">
        <v>0.7</v>
      </c>
      <c r="G131">
        <v>1.3</v>
      </c>
      <c r="H131">
        <v>0.7</v>
      </c>
      <c r="I131">
        <v>1.3</v>
      </c>
      <c r="J131">
        <v>0.7</v>
      </c>
    </row>
    <row r="132" spans="1:11" x14ac:dyDescent="0.25">
      <c r="A132" t="s">
        <v>112</v>
      </c>
      <c r="B132">
        <f>B130*B131+C130*C131</f>
        <v>1.0900000000000001</v>
      </c>
      <c r="D132">
        <f>D130*D131+E130*E131</f>
        <v>1.21</v>
      </c>
      <c r="G132">
        <f>G130*G131+H130*H131</f>
        <v>1.0900000000000001</v>
      </c>
      <c r="I132">
        <f>I130*I131+J130*J131</f>
        <v>1.21</v>
      </c>
    </row>
    <row r="133" spans="1:11" x14ac:dyDescent="0.25">
      <c r="A133" t="s">
        <v>130</v>
      </c>
      <c r="G133">
        <v>0.6</v>
      </c>
      <c r="I133">
        <f>1-G133</f>
        <v>0.4</v>
      </c>
      <c r="K133" t="s">
        <v>131</v>
      </c>
    </row>
    <row r="135" spans="1:11" x14ac:dyDescent="0.25">
      <c r="A135" t="s">
        <v>113</v>
      </c>
      <c r="B135" s="1">
        <v>0.7</v>
      </c>
      <c r="D135" s="1">
        <v>0.7</v>
      </c>
      <c r="G135" s="1">
        <v>0.7</v>
      </c>
      <c r="I135" s="1">
        <v>0.7</v>
      </c>
    </row>
    <row r="136" spans="1:11" x14ac:dyDescent="0.25">
      <c r="A136" t="s">
        <v>117</v>
      </c>
      <c r="B136" s="1">
        <v>0.02</v>
      </c>
      <c r="D136" s="1">
        <v>0.02</v>
      </c>
      <c r="G136" s="1">
        <v>0.02</v>
      </c>
      <c r="I136" s="1">
        <v>0.02</v>
      </c>
    </row>
    <row r="137" spans="1:11" x14ac:dyDescent="0.25">
      <c r="A137" t="s">
        <v>116</v>
      </c>
      <c r="B137" s="6">
        <f>B127*(1+B128+B136)</f>
        <v>0.81</v>
      </c>
      <c r="D137" s="6">
        <f>D127*(1+D128+D136)</f>
        <v>0.81</v>
      </c>
      <c r="G137" s="6">
        <f>G127*(1+G128+G136)</f>
        <v>0.81</v>
      </c>
      <c r="I137" s="6">
        <f>I127*(1+I128+I136)</f>
        <v>0.81</v>
      </c>
      <c r="K137">
        <f>(I127*(1+K139)*G130+H131*G135*H130)*G133+(I127*(1+K139)*I130+J131*I135*J130)*I133</f>
        <v>0.81000000000000016</v>
      </c>
    </row>
    <row r="138" spans="1:11" x14ac:dyDescent="0.25">
      <c r="B138" s="4"/>
      <c r="D138" s="4"/>
      <c r="G138" s="4"/>
      <c r="I138" s="4"/>
    </row>
    <row r="139" spans="1:11" x14ac:dyDescent="0.25">
      <c r="A139" t="s">
        <v>114</v>
      </c>
      <c r="B139" s="1">
        <f>(B137-C131*B135*C130)/(B127*B130)-1</f>
        <v>0.30974358974358984</v>
      </c>
      <c r="D139" s="1">
        <f>(D137-E131*D135*E130)/(D127*D130)-1</f>
        <v>0.15529411764705903</v>
      </c>
      <c r="G139" s="1">
        <f>(G137-H131*G135*H130)/(G127*G130)-1</f>
        <v>0.30974358974358984</v>
      </c>
      <c r="I139" s="1">
        <f>(I137-J131*I135*J130)/(I127*I130)-1</f>
        <v>0.15529411764705903</v>
      </c>
      <c r="K139">
        <v>0.2378082191780824</v>
      </c>
    </row>
    <row r="141" spans="1:11" x14ac:dyDescent="0.25">
      <c r="A141" t="s">
        <v>127</v>
      </c>
      <c r="B141">
        <f>(B131-B127*(1+B139))*B130-B126*(1+B128)</f>
        <v>-5.8499999999999996E-2</v>
      </c>
      <c r="D141">
        <f>(D131-D127*(1+D139))*D130-D126*(1+D128)</f>
        <v>0.10349999999999981</v>
      </c>
      <c r="G141">
        <f>(G131-G127*(1+K139))*G130-G126*(1+G128)</f>
        <v>-2.3431506849315165E-2</v>
      </c>
      <c r="I141">
        <f>(I131-I127*(1+K139))*I130-I126*(1+I128)</f>
        <v>5.0897260273972456E-2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9"/>
  <sheetViews>
    <sheetView workbookViewId="0">
      <selection activeCell="I15" sqref="I15"/>
    </sheetView>
  </sheetViews>
  <sheetFormatPr defaultRowHeight="12.5" x14ac:dyDescent="0.25"/>
  <cols>
    <col min="1" max="1" width="30.26953125" customWidth="1"/>
    <col min="2" max="2" width="18.26953125" customWidth="1"/>
    <col min="3" max="3" width="10.26953125" customWidth="1"/>
    <col min="4" max="4" width="12.54296875" customWidth="1"/>
  </cols>
  <sheetData>
    <row r="1" spans="1:3" x14ac:dyDescent="0.25">
      <c r="A1" t="s">
        <v>53</v>
      </c>
    </row>
    <row r="2" spans="1:3" x14ac:dyDescent="0.25">
      <c r="A2" t="s">
        <v>93</v>
      </c>
      <c r="B2">
        <v>100</v>
      </c>
      <c r="C2" t="s">
        <v>79</v>
      </c>
    </row>
    <row r="4" spans="1:3" x14ac:dyDescent="0.25">
      <c r="A4" t="s">
        <v>94</v>
      </c>
      <c r="B4">
        <v>1000</v>
      </c>
    </row>
    <row r="5" spans="1:3" x14ac:dyDescent="0.25">
      <c r="A5" t="s">
        <v>88</v>
      </c>
      <c r="B5">
        <v>0.8</v>
      </c>
    </row>
    <row r="6" spans="1:3" x14ac:dyDescent="0.25">
      <c r="A6" t="s">
        <v>89</v>
      </c>
      <c r="B6">
        <v>0.1</v>
      </c>
    </row>
    <row r="7" spans="1:3" x14ac:dyDescent="0.25">
      <c r="A7" t="s">
        <v>90</v>
      </c>
      <c r="B7">
        <f>1-B5</f>
        <v>0.19999999999999996</v>
      </c>
    </row>
    <row r="8" spans="1:3" x14ac:dyDescent="0.25">
      <c r="A8" t="s">
        <v>91</v>
      </c>
      <c r="B8">
        <v>-0.31</v>
      </c>
    </row>
    <row r="9" spans="1:3" x14ac:dyDescent="0.25">
      <c r="A9" t="s">
        <v>92</v>
      </c>
      <c r="B9">
        <f>B5*B6+B7*B8</f>
        <v>1.800000000000003E-2</v>
      </c>
    </row>
    <row r="10" spans="1:3" x14ac:dyDescent="0.25">
      <c r="A10" t="s">
        <v>194</v>
      </c>
      <c r="B10">
        <f>B4*B8</f>
        <v>-310</v>
      </c>
    </row>
    <row r="11" spans="1:3" x14ac:dyDescent="0.25">
      <c r="A11" t="s">
        <v>103</v>
      </c>
      <c r="B11">
        <f>B4/ABS(B10)*B2</f>
        <v>322.58064516129031</v>
      </c>
    </row>
    <row r="12" spans="1:3" x14ac:dyDescent="0.25">
      <c r="A12" t="s">
        <v>104</v>
      </c>
      <c r="B12">
        <f>B9*B11/B2</f>
        <v>5.8064516129032351E-2</v>
      </c>
    </row>
    <row r="13" spans="1:3" x14ac:dyDescent="0.25">
      <c r="A13" t="s">
        <v>108</v>
      </c>
      <c r="B13">
        <f>B11*B8</f>
        <v>-100</v>
      </c>
    </row>
    <row r="15" spans="1:3" x14ac:dyDescent="0.25">
      <c r="A15" t="s">
        <v>96</v>
      </c>
    </row>
    <row r="16" spans="1:3" x14ac:dyDescent="0.25">
      <c r="A16" t="s">
        <v>97</v>
      </c>
    </row>
    <row r="17" spans="1:2" x14ac:dyDescent="0.25">
      <c r="A17" t="s">
        <v>102</v>
      </c>
      <c r="B17">
        <f>1000</f>
        <v>1000</v>
      </c>
    </row>
    <row r="18" spans="1:2" x14ac:dyDescent="0.25">
      <c r="A18" t="s">
        <v>98</v>
      </c>
      <c r="B18">
        <f>B5^2</f>
        <v>0.64000000000000012</v>
      </c>
    </row>
    <row r="19" spans="1:2" x14ac:dyDescent="0.25">
      <c r="A19" t="s">
        <v>99</v>
      </c>
      <c r="B19">
        <f>B6</f>
        <v>0.1</v>
      </c>
    </row>
    <row r="20" spans="1:2" x14ac:dyDescent="0.25">
      <c r="A20" t="s">
        <v>100</v>
      </c>
      <c r="B20">
        <f>2*B5*B7</f>
        <v>0.31999999999999995</v>
      </c>
    </row>
    <row r="21" spans="1:2" x14ac:dyDescent="0.25">
      <c r="A21" t="s">
        <v>99</v>
      </c>
      <c r="B21">
        <f>(B6+B8)/2</f>
        <v>-0.105</v>
      </c>
    </row>
    <row r="22" spans="1:2" x14ac:dyDescent="0.25">
      <c r="A22" t="s">
        <v>101</v>
      </c>
      <c r="B22">
        <f>B7^2</f>
        <v>3.999999999999998E-2</v>
      </c>
    </row>
    <row r="23" spans="1:2" x14ac:dyDescent="0.25">
      <c r="A23" t="s">
        <v>99</v>
      </c>
      <c r="B23">
        <f>B8</f>
        <v>-0.31</v>
      </c>
    </row>
    <row r="24" spans="1:2" x14ac:dyDescent="0.25">
      <c r="A24" t="s">
        <v>194</v>
      </c>
      <c r="B24">
        <f xml:space="preserve"> B17*B21</f>
        <v>-105</v>
      </c>
    </row>
    <row r="25" spans="1:2" x14ac:dyDescent="0.25">
      <c r="A25" t="s">
        <v>105</v>
      </c>
      <c r="B25">
        <f>B17/ABS(B24)*B2</f>
        <v>952.38095238095241</v>
      </c>
    </row>
    <row r="26" spans="1:2" x14ac:dyDescent="0.25">
      <c r="A26" t="s">
        <v>104</v>
      </c>
      <c r="B26">
        <f>B9*B25/B2</f>
        <v>0.17142857142857171</v>
      </c>
    </row>
    <row r="27" spans="1:2" x14ac:dyDescent="0.25">
      <c r="A27" t="s">
        <v>108</v>
      </c>
      <c r="B27">
        <f>B25*B23</f>
        <v>-295.23809523809524</v>
      </c>
    </row>
    <row r="29" spans="1:2" x14ac:dyDescent="0.25">
      <c r="A29" t="s">
        <v>96</v>
      </c>
    </row>
    <row r="30" spans="1:2" x14ac:dyDescent="0.25">
      <c r="A30" t="s">
        <v>97</v>
      </c>
    </row>
    <row r="31" spans="1:2" x14ac:dyDescent="0.25">
      <c r="A31" t="s">
        <v>106</v>
      </c>
      <c r="B31">
        <v>0.5</v>
      </c>
    </row>
    <row r="32" spans="1:2" x14ac:dyDescent="0.25">
      <c r="A32" t="s">
        <v>107</v>
      </c>
    </row>
    <row r="36" spans="1:2" x14ac:dyDescent="0.25">
      <c r="A36" t="s">
        <v>100</v>
      </c>
    </row>
    <row r="37" spans="1:2" x14ac:dyDescent="0.25">
      <c r="A37" t="s">
        <v>99</v>
      </c>
      <c r="B37">
        <f>B21+B19*B18/B20*B31</f>
        <v>-4.9999999999999628E-3</v>
      </c>
    </row>
    <row r="40" spans="1:2" x14ac:dyDescent="0.25">
      <c r="A40" t="s">
        <v>194</v>
      </c>
      <c r="B40">
        <f>B17*B37</f>
        <v>-4.9999999999999627</v>
      </c>
    </row>
    <row r="41" spans="1:2" x14ac:dyDescent="0.25">
      <c r="A41" t="s">
        <v>105</v>
      </c>
      <c r="B41">
        <f>B17/ABS(B40)*B2</f>
        <v>20000.000000000149</v>
      </c>
    </row>
    <row r="42" spans="1:2" x14ac:dyDescent="0.25">
      <c r="A42" t="s">
        <v>104</v>
      </c>
      <c r="B42">
        <f>B9*B41/B2</f>
        <v>3.600000000000033</v>
      </c>
    </row>
    <row r="43" spans="1:2" x14ac:dyDescent="0.25">
      <c r="A43" t="s">
        <v>108</v>
      </c>
      <c r="B43">
        <f>B41*B23</f>
        <v>-6200.0000000000464</v>
      </c>
    </row>
    <row r="53" spans="1:2" ht="14.25" customHeight="1" x14ac:dyDescent="0.25"/>
    <row r="62" spans="1:2" ht="12" customHeight="1" x14ac:dyDescent="0.25"/>
    <row r="63" spans="1:2" ht="12" customHeight="1" x14ac:dyDescent="0.25">
      <c r="A63" s="8" t="s">
        <v>65</v>
      </c>
    </row>
    <row r="64" spans="1:2" ht="12" customHeight="1" x14ac:dyDescent="0.25">
      <c r="A64" s="9" t="s">
        <v>93</v>
      </c>
      <c r="B64">
        <v>300</v>
      </c>
    </row>
    <row r="65" spans="1:2" ht="12" customHeight="1" x14ac:dyDescent="0.25"/>
    <row r="66" spans="1:2" ht="12" customHeight="1" x14ac:dyDescent="0.25">
      <c r="A66" s="9" t="s">
        <v>94</v>
      </c>
      <c r="B66">
        <v>1</v>
      </c>
    </row>
    <row r="67" spans="1:2" ht="12" customHeight="1" x14ac:dyDescent="0.25">
      <c r="A67" s="9" t="s">
        <v>195</v>
      </c>
      <c r="B67">
        <v>0.9</v>
      </c>
    </row>
    <row r="68" spans="1:2" ht="12" customHeight="1" x14ac:dyDescent="0.25">
      <c r="A68" s="9" t="s">
        <v>196</v>
      </c>
      <c r="B68">
        <v>0.05</v>
      </c>
    </row>
    <row r="69" spans="1:2" ht="12" customHeight="1" x14ac:dyDescent="0.25">
      <c r="A69" s="9" t="s">
        <v>197</v>
      </c>
      <c r="B69" s="1">
        <v>0.08</v>
      </c>
    </row>
    <row r="70" spans="1:2" ht="12" customHeight="1" x14ac:dyDescent="0.25">
      <c r="A70" s="9" t="s">
        <v>198</v>
      </c>
      <c r="B70" s="1">
        <v>-0.15</v>
      </c>
    </row>
    <row r="71" spans="1:2" ht="12" customHeight="1" x14ac:dyDescent="0.25">
      <c r="A71" s="9" t="s">
        <v>199</v>
      </c>
      <c r="B71" s="1">
        <v>0.02</v>
      </c>
    </row>
    <row r="72" spans="1:2" ht="12" customHeight="1" x14ac:dyDescent="0.25">
      <c r="A72" s="9" t="s">
        <v>200</v>
      </c>
      <c r="B72" s="1">
        <v>-0.6</v>
      </c>
    </row>
    <row r="73" spans="1:2" ht="12" customHeight="1" x14ac:dyDescent="0.25">
      <c r="A73" s="9" t="s">
        <v>92</v>
      </c>
      <c r="B73" s="2">
        <f>B67*B68+B69*B70+B71*B72</f>
        <v>2.1000000000000001E-2</v>
      </c>
    </row>
    <row r="74" spans="1:2" ht="12" customHeight="1" x14ac:dyDescent="0.25">
      <c r="A74" s="9" t="s">
        <v>194</v>
      </c>
      <c r="B74">
        <f>B66*B70</f>
        <v>-0.15</v>
      </c>
    </row>
    <row r="75" spans="1:2" ht="12" customHeight="1" x14ac:dyDescent="0.25">
      <c r="A75" s="9" t="s">
        <v>103</v>
      </c>
      <c r="B75">
        <f>B66/ABS(B74)*B64</f>
        <v>2000</v>
      </c>
    </row>
    <row r="76" spans="1:2" ht="12" customHeight="1" x14ac:dyDescent="0.25">
      <c r="A76" s="9" t="s">
        <v>104</v>
      </c>
      <c r="B76">
        <f>B73*B75/B64</f>
        <v>0.14000000000000001</v>
      </c>
    </row>
    <row r="77" spans="1:2" ht="12" customHeight="1" x14ac:dyDescent="0.25">
      <c r="A77" s="9" t="s">
        <v>108</v>
      </c>
      <c r="B77">
        <f>B75*B72</f>
        <v>-1200</v>
      </c>
    </row>
    <row r="78" spans="1:2" ht="12" customHeight="1" x14ac:dyDescent="0.25"/>
    <row r="79" spans="1:2" ht="12" customHeight="1" x14ac:dyDescent="0.25">
      <c r="A79" s="8" t="s">
        <v>201</v>
      </c>
      <c r="B79" s="10">
        <f>20%*B71+ABS(B70)*B69</f>
        <v>1.6E-2</v>
      </c>
    </row>
    <row r="80" spans="1:2" ht="12" customHeight="1" x14ac:dyDescent="0.25">
      <c r="A80" s="8" t="s">
        <v>202</v>
      </c>
      <c r="B80">
        <f>B79*1.1</f>
        <v>1.7600000000000001E-2</v>
      </c>
    </row>
    <row r="81" spans="1:3" ht="12" customHeight="1" x14ac:dyDescent="0.25">
      <c r="A81" s="9" t="s">
        <v>92</v>
      </c>
      <c r="B81" s="2">
        <f>B73-B79*0.1</f>
        <v>1.9400000000000001E-2</v>
      </c>
    </row>
    <row r="82" spans="1:3" x14ac:dyDescent="0.25">
      <c r="A82" s="9" t="s">
        <v>194</v>
      </c>
      <c r="B82">
        <f>B80</f>
        <v>1.7600000000000001E-2</v>
      </c>
    </row>
    <row r="83" spans="1:3" x14ac:dyDescent="0.25">
      <c r="A83" s="9" t="s">
        <v>103</v>
      </c>
      <c r="B83">
        <f>B66/B82*B64</f>
        <v>17045.454545454544</v>
      </c>
    </row>
    <row r="84" spans="1:3" x14ac:dyDescent="0.25">
      <c r="A84" s="9" t="s">
        <v>104</v>
      </c>
      <c r="B84">
        <f>B81*B83/B64</f>
        <v>1.1022727272727273</v>
      </c>
    </row>
    <row r="85" spans="1:3" x14ac:dyDescent="0.25">
      <c r="A85" s="9" t="s">
        <v>108</v>
      </c>
      <c r="B85">
        <f>B83*(B72+20%-B80)</f>
        <v>-7118.1818181818171</v>
      </c>
    </row>
    <row r="86" spans="1:3" x14ac:dyDescent="0.25">
      <c r="A86" s="9"/>
    </row>
    <row r="87" spans="1:3" x14ac:dyDescent="0.25">
      <c r="A87" s="9"/>
    </row>
    <row r="88" spans="1:3" x14ac:dyDescent="0.25">
      <c r="A88" s="9"/>
    </row>
    <row r="90" spans="1:3" x14ac:dyDescent="0.25">
      <c r="A90" s="8" t="s">
        <v>76</v>
      </c>
    </row>
    <row r="91" spans="1:3" x14ac:dyDescent="0.25">
      <c r="A91" t="s">
        <v>73</v>
      </c>
      <c r="B91">
        <v>0.6</v>
      </c>
      <c r="C91">
        <f>1-B91</f>
        <v>0.4</v>
      </c>
    </row>
    <row r="92" spans="1:3" x14ac:dyDescent="0.25">
      <c r="A92" t="s">
        <v>74</v>
      </c>
      <c r="B92">
        <v>12</v>
      </c>
      <c r="C92">
        <v>-8</v>
      </c>
    </row>
    <row r="93" spans="1:3" x14ac:dyDescent="0.25">
      <c r="A93" t="s">
        <v>75</v>
      </c>
      <c r="B93" s="4">
        <f>B91*B92+C91*C92</f>
        <v>3.9999999999999991</v>
      </c>
    </row>
    <row r="95" spans="1:3" x14ac:dyDescent="0.25">
      <c r="A95" t="s">
        <v>73</v>
      </c>
      <c r="B95">
        <v>0.9</v>
      </c>
      <c r="C95">
        <f>1-B95</f>
        <v>9.9999999999999978E-2</v>
      </c>
    </row>
    <row r="96" spans="1:3" x14ac:dyDescent="0.25">
      <c r="A96" t="s">
        <v>74</v>
      </c>
      <c r="B96">
        <v>12</v>
      </c>
      <c r="C96">
        <v>-68</v>
      </c>
    </row>
    <row r="97" spans="1:4" x14ac:dyDescent="0.25">
      <c r="A97" t="s">
        <v>75</v>
      </c>
      <c r="B97" s="4">
        <f>B95*B96+C95*C96</f>
        <v>4.0000000000000018</v>
      </c>
    </row>
    <row r="102" spans="1:4" x14ac:dyDescent="0.25">
      <c r="A102" s="8" t="s">
        <v>77</v>
      </c>
    </row>
    <row r="103" spans="1:4" x14ac:dyDescent="0.25">
      <c r="A103" t="s">
        <v>66</v>
      </c>
      <c r="B103" s="1">
        <v>0.65</v>
      </c>
    </row>
    <row r="104" spans="1:4" x14ac:dyDescent="0.25">
      <c r="A104" t="s">
        <v>67</v>
      </c>
      <c r="B104" s="1">
        <v>0.3</v>
      </c>
    </row>
    <row r="105" spans="1:4" x14ac:dyDescent="0.25">
      <c r="A105" t="s">
        <v>68</v>
      </c>
      <c r="B105" s="2">
        <f>B103*B104-(1-B103)*B104</f>
        <v>9.0000000000000011E-2</v>
      </c>
    </row>
    <row r="106" spans="1:4" x14ac:dyDescent="0.25">
      <c r="A106" t="s">
        <v>69</v>
      </c>
      <c r="B106" s="3">
        <v>10000</v>
      </c>
      <c r="C106" t="s">
        <v>70</v>
      </c>
      <c r="D106">
        <f>B106*$B$105</f>
        <v>900.00000000000011</v>
      </c>
    </row>
    <row r="107" spans="1:4" x14ac:dyDescent="0.25">
      <c r="A107" t="s">
        <v>71</v>
      </c>
      <c r="B107" s="3">
        <v>10000000</v>
      </c>
      <c r="D107">
        <f>B107*$B$105</f>
        <v>900000.00000000012</v>
      </c>
    </row>
    <row r="108" spans="1:4" x14ac:dyDescent="0.25">
      <c r="A108" t="s">
        <v>72</v>
      </c>
      <c r="B108" s="3">
        <v>10000000000</v>
      </c>
      <c r="D108">
        <f>B108*$B$105</f>
        <v>900000000.00000012</v>
      </c>
    </row>
    <row r="126" spans="1:2" x14ac:dyDescent="0.25">
      <c r="A126" s="8"/>
    </row>
    <row r="127" spans="1:2" x14ac:dyDescent="0.25">
      <c r="B127" s="1"/>
    </row>
    <row r="128" spans="1:2" x14ac:dyDescent="0.25">
      <c r="B128" s="1"/>
    </row>
    <row r="129" spans="2:2" x14ac:dyDescent="0.25">
      <c r="B129" s="1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4" spans="2:2" x14ac:dyDescent="0.25">
      <c r="B134" s="5"/>
    </row>
    <row r="139" spans="2:2" x14ac:dyDescent="0.25">
      <c r="B139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C47"/>
  <sheetViews>
    <sheetView topLeftCell="A18" workbookViewId="0">
      <selection activeCell="I36" sqref="I36"/>
    </sheetView>
  </sheetViews>
  <sheetFormatPr defaultRowHeight="12.5" x14ac:dyDescent="0.25"/>
  <cols>
    <col min="1" max="1" width="32.26953125" customWidth="1"/>
  </cols>
  <sheetData>
    <row r="4" spans="1:3" x14ac:dyDescent="0.25">
      <c r="A4" t="s">
        <v>52</v>
      </c>
    </row>
    <row r="5" spans="1:3" x14ac:dyDescent="0.25">
      <c r="A5" t="s">
        <v>122</v>
      </c>
    </row>
    <row r="6" spans="1:3" x14ac:dyDescent="0.25">
      <c r="A6" t="s">
        <v>78</v>
      </c>
      <c r="B6">
        <v>2</v>
      </c>
      <c r="C6" t="s">
        <v>79</v>
      </c>
    </row>
    <row r="7" spans="1:3" x14ac:dyDescent="0.25">
      <c r="A7" t="s">
        <v>134</v>
      </c>
      <c r="B7" s="1">
        <v>0.5</v>
      </c>
      <c r="C7" s="1">
        <v>0.5</v>
      </c>
    </row>
    <row r="8" spans="1:3" x14ac:dyDescent="0.25">
      <c r="A8" t="s">
        <v>135</v>
      </c>
      <c r="B8">
        <v>2.6</v>
      </c>
      <c r="C8">
        <v>2</v>
      </c>
    </row>
    <row r="9" spans="1:3" x14ac:dyDescent="0.25">
      <c r="A9" t="s">
        <v>137</v>
      </c>
      <c r="B9" s="1">
        <v>0.1</v>
      </c>
    </row>
    <row r="10" spans="1:3" x14ac:dyDescent="0.25">
      <c r="A10" t="s">
        <v>114</v>
      </c>
      <c r="B10" s="1">
        <v>0.1</v>
      </c>
    </row>
    <row r="11" spans="1:3" x14ac:dyDescent="0.25">
      <c r="A11" t="s">
        <v>142</v>
      </c>
      <c r="B11">
        <f>(B8*B7+C8*C7)/(1+B9)-B6</f>
        <v>9.0909090909090384E-2</v>
      </c>
    </row>
    <row r="12" spans="1:3" x14ac:dyDescent="0.25">
      <c r="A12" t="s">
        <v>143</v>
      </c>
      <c r="B12">
        <f>(B8/(1+B9)-B6)*B7</f>
        <v>0.18181818181818166</v>
      </c>
    </row>
    <row r="15" spans="1:3" x14ac:dyDescent="0.25">
      <c r="A15" t="s">
        <v>136</v>
      </c>
    </row>
    <row r="16" spans="1:3" x14ac:dyDescent="0.25">
      <c r="A16" t="s">
        <v>78</v>
      </c>
      <c r="B16">
        <v>2</v>
      </c>
      <c r="C16" t="s">
        <v>79</v>
      </c>
    </row>
    <row r="17" spans="1:3" x14ac:dyDescent="0.25">
      <c r="A17" t="s">
        <v>134</v>
      </c>
      <c r="B17" s="1">
        <v>0.8</v>
      </c>
      <c r="C17" s="1">
        <f>1-B17</f>
        <v>0.19999999999999996</v>
      </c>
    </row>
    <row r="18" spans="1:3" x14ac:dyDescent="0.25">
      <c r="A18" t="s">
        <v>135</v>
      </c>
      <c r="B18">
        <v>2.6</v>
      </c>
      <c r="C18">
        <v>0.1</v>
      </c>
    </row>
    <row r="19" spans="1:3" x14ac:dyDescent="0.25">
      <c r="A19" t="s">
        <v>137</v>
      </c>
      <c r="B19" s="1">
        <v>0.1</v>
      </c>
    </row>
    <row r="20" spans="1:3" x14ac:dyDescent="0.25">
      <c r="A20" t="s">
        <v>114</v>
      </c>
      <c r="B20" s="1">
        <v>0.1</v>
      </c>
    </row>
    <row r="21" spans="1:3" x14ac:dyDescent="0.25">
      <c r="A21" t="s">
        <v>142</v>
      </c>
      <c r="B21">
        <f>(B18*B17+C18*C17)/(1+B19)-B16</f>
        <v>-9.090909090909105E-2</v>
      </c>
    </row>
    <row r="22" spans="1:3" x14ac:dyDescent="0.25">
      <c r="A22" t="s">
        <v>143</v>
      </c>
      <c r="B22">
        <f>(B18/(1+B19)-B16)*B17</f>
        <v>0.29090909090909067</v>
      </c>
    </row>
    <row r="29" spans="1:3" x14ac:dyDescent="0.25">
      <c r="A29" t="s">
        <v>65</v>
      </c>
    </row>
    <row r="30" spans="1:3" x14ac:dyDescent="0.25">
      <c r="A30" t="s">
        <v>122</v>
      </c>
    </row>
    <row r="31" spans="1:3" x14ac:dyDescent="0.25">
      <c r="A31" t="s">
        <v>78</v>
      </c>
      <c r="B31">
        <v>10</v>
      </c>
      <c r="C31" t="s">
        <v>79</v>
      </c>
    </row>
    <row r="32" spans="1:3" x14ac:dyDescent="0.25">
      <c r="A32" t="s">
        <v>134</v>
      </c>
      <c r="B32" s="1">
        <v>0.5</v>
      </c>
      <c r="C32" s="1">
        <v>0.5</v>
      </c>
    </row>
    <row r="33" spans="1:3" x14ac:dyDescent="0.25">
      <c r="A33" t="s">
        <v>135</v>
      </c>
      <c r="B33">
        <v>19</v>
      </c>
      <c r="C33">
        <v>3</v>
      </c>
    </row>
    <row r="34" spans="1:3" x14ac:dyDescent="0.25">
      <c r="A34" t="s">
        <v>137</v>
      </c>
      <c r="B34" s="1">
        <v>0.05</v>
      </c>
    </row>
    <row r="35" spans="1:3" x14ac:dyDescent="0.25">
      <c r="A35" t="s">
        <v>114</v>
      </c>
      <c r="B35" s="1">
        <v>0.05</v>
      </c>
    </row>
    <row r="36" spans="1:3" x14ac:dyDescent="0.25">
      <c r="A36" t="s">
        <v>142</v>
      </c>
      <c r="B36">
        <f>(B33*B32+C33*C32)/(1+B34)-B31</f>
        <v>0.47619047619047628</v>
      </c>
    </row>
    <row r="37" spans="1:3" x14ac:dyDescent="0.25">
      <c r="A37" t="s">
        <v>143</v>
      </c>
      <c r="B37">
        <f>(B33/(1+B34)-B31)*B32</f>
        <v>4.0476190476190474</v>
      </c>
    </row>
    <row r="40" spans="1:3" x14ac:dyDescent="0.25">
      <c r="A40" t="s">
        <v>136</v>
      </c>
    </row>
    <row r="41" spans="1:3" x14ac:dyDescent="0.25">
      <c r="A41" t="s">
        <v>78</v>
      </c>
      <c r="B41">
        <v>10</v>
      </c>
      <c r="C41" t="s">
        <v>79</v>
      </c>
    </row>
    <row r="42" spans="1:3" x14ac:dyDescent="0.25">
      <c r="A42" t="s">
        <v>134</v>
      </c>
      <c r="B42" s="1">
        <v>0.5</v>
      </c>
      <c r="C42" s="1">
        <f>1-B42</f>
        <v>0.5</v>
      </c>
    </row>
    <row r="43" spans="1:3" x14ac:dyDescent="0.25">
      <c r="A43" t="s">
        <v>135</v>
      </c>
      <c r="B43">
        <v>14</v>
      </c>
      <c r="C43">
        <v>9</v>
      </c>
    </row>
    <row r="44" spans="1:3" x14ac:dyDescent="0.25">
      <c r="A44" t="s">
        <v>137</v>
      </c>
      <c r="B44" s="1">
        <v>0.05</v>
      </c>
    </row>
    <row r="45" spans="1:3" x14ac:dyDescent="0.25">
      <c r="A45" t="s">
        <v>114</v>
      </c>
      <c r="B45" s="1">
        <v>0.05</v>
      </c>
    </row>
    <row r="46" spans="1:3" x14ac:dyDescent="0.25">
      <c r="A46" t="s">
        <v>142</v>
      </c>
      <c r="B46">
        <f>(B43*B42+C43*C42)/(1+B44)-B41</f>
        <v>0.95238095238095255</v>
      </c>
    </row>
    <row r="47" spans="1:3" x14ac:dyDescent="0.25">
      <c r="A47" t="s">
        <v>143</v>
      </c>
      <c r="B47">
        <f>(B43/(1+B44)-B41)*B42</f>
        <v>1.6666666666666661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6"/>
  <sheetViews>
    <sheetView topLeftCell="A7" workbookViewId="0">
      <selection activeCell="F48" sqref="F48"/>
    </sheetView>
  </sheetViews>
  <sheetFormatPr defaultRowHeight="12.5" x14ac:dyDescent="0.25"/>
  <cols>
    <col min="1" max="1" width="49" customWidth="1"/>
    <col min="2" max="2" width="11.1796875" customWidth="1"/>
    <col min="4" max="4" width="11.36328125" customWidth="1"/>
    <col min="8" max="8" width="13.1796875" customWidth="1"/>
  </cols>
  <sheetData>
    <row r="1" spans="1:2" x14ac:dyDescent="0.25">
      <c r="A1" t="s">
        <v>46</v>
      </c>
    </row>
    <row r="3" spans="1:2" x14ac:dyDescent="0.25">
      <c r="A3" t="s">
        <v>41</v>
      </c>
    </row>
    <row r="4" spans="1:2" x14ac:dyDescent="0.25">
      <c r="A4" t="s">
        <v>42</v>
      </c>
      <c r="B4">
        <f>0.5</f>
        <v>0.5</v>
      </c>
    </row>
    <row r="5" spans="1:2" x14ac:dyDescent="0.25">
      <c r="A5" t="s">
        <v>43</v>
      </c>
      <c r="B5">
        <v>0.5</v>
      </c>
    </row>
    <row r="7" spans="1:2" x14ac:dyDescent="0.25">
      <c r="A7" t="s">
        <v>44</v>
      </c>
    </row>
    <row r="8" spans="1:2" x14ac:dyDescent="0.25">
      <c r="A8" t="s">
        <v>42</v>
      </c>
      <c r="B8">
        <f>(1+1)/(0.5+1+1+1)</f>
        <v>0.5714285714285714</v>
      </c>
    </row>
    <row r="9" spans="1:2" x14ac:dyDescent="0.25">
      <c r="A9" t="s">
        <v>43</v>
      </c>
      <c r="B9">
        <v>0.5</v>
      </c>
    </row>
    <row r="14" spans="1:2" x14ac:dyDescent="0.25">
      <c r="A14" t="s">
        <v>45</v>
      </c>
      <c r="B14">
        <f>(0.25+0.5)/(0.125+0.25+0.5+1)</f>
        <v>0.4</v>
      </c>
    </row>
    <row r="17" spans="1:9" x14ac:dyDescent="0.25">
      <c r="A17" t="s">
        <v>52</v>
      </c>
    </row>
    <row r="18" spans="1:9" x14ac:dyDescent="0.25">
      <c r="B18">
        <v>5</v>
      </c>
      <c r="C18">
        <v>15</v>
      </c>
      <c r="D18">
        <v>25</v>
      </c>
      <c r="E18">
        <v>35</v>
      </c>
      <c r="F18">
        <v>45</v>
      </c>
      <c r="G18">
        <v>55</v>
      </c>
      <c r="H18">
        <v>65</v>
      </c>
      <c r="I18">
        <v>75</v>
      </c>
    </row>
    <row r="19" spans="1:9" x14ac:dyDescent="0.25">
      <c r="A19" t="s">
        <v>47</v>
      </c>
      <c r="B19">
        <f>C19*0.9</f>
        <v>0.9</v>
      </c>
      <c r="C19">
        <v>1</v>
      </c>
      <c r="D19">
        <f t="shared" ref="D19:I19" si="0">C19*0.9</f>
        <v>0.9</v>
      </c>
      <c r="E19">
        <f t="shared" si="0"/>
        <v>0.81</v>
      </c>
      <c r="F19">
        <f t="shared" si="0"/>
        <v>0.72900000000000009</v>
      </c>
      <c r="G19">
        <f t="shared" si="0"/>
        <v>0.65610000000000013</v>
      </c>
      <c r="H19">
        <f t="shared" si="0"/>
        <v>0.59049000000000018</v>
      </c>
      <c r="I19">
        <f t="shared" si="0"/>
        <v>0.53144100000000016</v>
      </c>
    </row>
    <row r="21" spans="1:9" x14ac:dyDescent="0.25">
      <c r="D21" t="s">
        <v>48</v>
      </c>
      <c r="E21">
        <f>SUM(D19:G19)</f>
        <v>3.0951000000000004</v>
      </c>
      <c r="H21" t="s">
        <v>49</v>
      </c>
      <c r="I21">
        <f>B19+C19+H19+I19</f>
        <v>3.0219310000000004</v>
      </c>
    </row>
    <row r="22" spans="1:9" x14ac:dyDescent="0.25">
      <c r="H22" t="s">
        <v>50</v>
      </c>
      <c r="I22">
        <f>E21/(E21+I21)</f>
        <v>0.50598076092797306</v>
      </c>
    </row>
    <row r="23" spans="1:9" x14ac:dyDescent="0.25">
      <c r="A23" t="s">
        <v>44</v>
      </c>
      <c r="B23">
        <f>C23*0.9</f>
        <v>0.65610000000000013</v>
      </c>
      <c r="C23">
        <f>D23*0.9</f>
        <v>0.72900000000000009</v>
      </c>
      <c r="D23">
        <f>E23*0.9</f>
        <v>0.81</v>
      </c>
      <c r="E23">
        <f>F23*0.9</f>
        <v>0.9</v>
      </c>
      <c r="F23">
        <v>1</v>
      </c>
      <c r="G23">
        <f>F23*0.9</f>
        <v>0.9</v>
      </c>
      <c r="H23">
        <f>G23*0.9</f>
        <v>0.81</v>
      </c>
      <c r="I23">
        <f>H23*0.9</f>
        <v>0.72900000000000009</v>
      </c>
    </row>
    <row r="25" spans="1:9" x14ac:dyDescent="0.25">
      <c r="D25" t="s">
        <v>48</v>
      </c>
      <c r="E25">
        <f>SUM(D23:G23)</f>
        <v>3.61</v>
      </c>
      <c r="H25" t="s">
        <v>49</v>
      </c>
      <c r="I25">
        <f>B23+C23+H23+I23</f>
        <v>2.9241000000000001</v>
      </c>
    </row>
    <row r="26" spans="1:9" x14ac:dyDescent="0.25">
      <c r="H26" t="s">
        <v>50</v>
      </c>
      <c r="I26">
        <f>E25/(E25+I25)</f>
        <v>0.55248618784530379</v>
      </c>
    </row>
    <row r="27" spans="1:9" x14ac:dyDescent="0.25">
      <c r="A27" t="s">
        <v>51</v>
      </c>
      <c r="B27">
        <f t="shared" ref="B27:G27" si="1">C27*0.9</f>
        <v>0.47829690000000014</v>
      </c>
      <c r="C27">
        <f t="shared" si="1"/>
        <v>0.53144100000000016</v>
      </c>
      <c r="D27">
        <f t="shared" si="1"/>
        <v>0.59049000000000018</v>
      </c>
      <c r="E27">
        <f t="shared" si="1"/>
        <v>0.65610000000000013</v>
      </c>
      <c r="F27">
        <f t="shared" si="1"/>
        <v>0.72900000000000009</v>
      </c>
      <c r="G27">
        <f t="shared" si="1"/>
        <v>0.81</v>
      </c>
      <c r="H27">
        <f>I27*0.9</f>
        <v>0.9</v>
      </c>
      <c r="I27">
        <v>1</v>
      </c>
    </row>
    <row r="29" spans="1:9" x14ac:dyDescent="0.25">
      <c r="D29" t="s">
        <v>48</v>
      </c>
      <c r="E29">
        <f>SUM(D27:G27)</f>
        <v>2.7855900000000005</v>
      </c>
      <c r="H29" t="s">
        <v>49</v>
      </c>
      <c r="I29">
        <f>B27+C27+H27+I27</f>
        <v>2.9097379000000001</v>
      </c>
    </row>
    <row r="30" spans="1:9" x14ac:dyDescent="0.25">
      <c r="H30" t="s">
        <v>50</v>
      </c>
      <c r="I30">
        <f>E29/(E29+I29)</f>
        <v>0.48910089970412418</v>
      </c>
    </row>
    <row r="33" spans="1:9" x14ac:dyDescent="0.25">
      <c r="B33">
        <v>5</v>
      </c>
      <c r="C33">
        <v>15</v>
      </c>
      <c r="D33">
        <v>25</v>
      </c>
      <c r="E33">
        <v>35</v>
      </c>
      <c r="F33">
        <v>45</v>
      </c>
      <c r="G33">
        <v>55</v>
      </c>
      <c r="H33">
        <v>65</v>
      </c>
      <c r="I33">
        <v>75</v>
      </c>
    </row>
    <row r="34" spans="1:9" x14ac:dyDescent="0.25">
      <c r="A34" t="s">
        <v>47</v>
      </c>
      <c r="B34">
        <f>C34*0.9</f>
        <v>0.9</v>
      </c>
      <c r="C34">
        <v>1</v>
      </c>
      <c r="D34">
        <f t="shared" ref="D34:I34" si="2">C34*0.9</f>
        <v>0.9</v>
      </c>
      <c r="E34">
        <f t="shared" si="2"/>
        <v>0.81</v>
      </c>
      <c r="F34">
        <f t="shared" si="2"/>
        <v>0.72900000000000009</v>
      </c>
      <c r="G34">
        <f t="shared" si="2"/>
        <v>0.65610000000000013</v>
      </c>
      <c r="H34">
        <f t="shared" si="2"/>
        <v>0.59049000000000018</v>
      </c>
      <c r="I34">
        <f t="shared" si="2"/>
        <v>0.53144100000000016</v>
      </c>
    </row>
    <row r="35" spans="1:9" x14ac:dyDescent="0.25">
      <c r="A35" t="s">
        <v>44</v>
      </c>
      <c r="B35">
        <f>C35*0.9</f>
        <v>0.65610000000000013</v>
      </c>
      <c r="C35">
        <f>D35*0.9</f>
        <v>0.72900000000000009</v>
      </c>
      <c r="D35">
        <f>E35*0.9</f>
        <v>0.81</v>
      </c>
      <c r="E35">
        <f>F35*0.9</f>
        <v>0.9</v>
      </c>
      <c r="F35">
        <v>1</v>
      </c>
      <c r="G35">
        <f>F35*0.9</f>
        <v>0.9</v>
      </c>
      <c r="H35">
        <f>G35*0.9</f>
        <v>0.81</v>
      </c>
      <c r="I35">
        <f>H35*0.9</f>
        <v>0.72900000000000009</v>
      </c>
    </row>
    <row r="36" spans="1:9" x14ac:dyDescent="0.25">
      <c r="A36" t="s">
        <v>51</v>
      </c>
      <c r="B36">
        <f t="shared" ref="B36:G36" si="3">C36*0.9</f>
        <v>0.47829690000000014</v>
      </c>
      <c r="C36">
        <f t="shared" si="3"/>
        <v>0.53144100000000016</v>
      </c>
      <c r="D36">
        <f t="shared" si="3"/>
        <v>0.59049000000000018</v>
      </c>
      <c r="E36">
        <f t="shared" si="3"/>
        <v>0.65610000000000013</v>
      </c>
      <c r="F36">
        <f t="shared" si="3"/>
        <v>0.72900000000000009</v>
      </c>
      <c r="G36">
        <f t="shared" si="3"/>
        <v>0.81</v>
      </c>
      <c r="H36">
        <f>I36*0.9</f>
        <v>0.9</v>
      </c>
      <c r="I36">
        <v>1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L115"/>
  <sheetViews>
    <sheetView workbookViewId="0">
      <selection activeCell="F118" sqref="F118"/>
    </sheetView>
  </sheetViews>
  <sheetFormatPr defaultRowHeight="12.5" x14ac:dyDescent="0.25"/>
  <cols>
    <col min="1" max="1" width="23.36328125" customWidth="1"/>
  </cols>
  <sheetData>
    <row r="3" spans="1:8" x14ac:dyDescent="0.25">
      <c r="A3" t="s">
        <v>125</v>
      </c>
      <c r="C3">
        <v>1</v>
      </c>
      <c r="D3" t="s">
        <v>79</v>
      </c>
      <c r="F3">
        <v>1</v>
      </c>
      <c r="G3" t="s">
        <v>79</v>
      </c>
    </row>
    <row r="4" spans="1:8" x14ac:dyDescent="0.25">
      <c r="A4" t="s">
        <v>126</v>
      </c>
      <c r="C4">
        <v>0.2</v>
      </c>
      <c r="F4">
        <f>C4</f>
        <v>0.2</v>
      </c>
    </row>
    <row r="5" spans="1:8" x14ac:dyDescent="0.25">
      <c r="A5" t="s">
        <v>109</v>
      </c>
      <c r="C5">
        <f>C3-C4</f>
        <v>0.8</v>
      </c>
      <c r="F5">
        <f>C5</f>
        <v>0.8</v>
      </c>
    </row>
    <row r="6" spans="1:8" x14ac:dyDescent="0.25">
      <c r="A6" t="s">
        <v>128</v>
      </c>
      <c r="C6">
        <v>0.04</v>
      </c>
      <c r="F6">
        <f>C6</f>
        <v>0.04</v>
      </c>
    </row>
    <row r="8" spans="1:8" x14ac:dyDescent="0.25">
      <c r="A8" t="s">
        <v>111</v>
      </c>
      <c r="C8">
        <v>0.85</v>
      </c>
      <c r="D8">
        <f>1-C8</f>
        <v>0.15000000000000002</v>
      </c>
      <c r="F8">
        <v>0.95</v>
      </c>
      <c r="G8">
        <f>1-F8</f>
        <v>5.0000000000000044E-2</v>
      </c>
    </row>
    <row r="9" spans="1:8" x14ac:dyDescent="0.25">
      <c r="A9" t="s">
        <v>110</v>
      </c>
      <c r="C9">
        <v>1.4</v>
      </c>
      <c r="D9">
        <v>0.7</v>
      </c>
      <c r="F9">
        <v>1.4</v>
      </c>
      <c r="G9">
        <v>0.7</v>
      </c>
    </row>
    <row r="10" spans="1:8" x14ac:dyDescent="0.25">
      <c r="A10" t="s">
        <v>112</v>
      </c>
      <c r="C10">
        <f>C8*C9+D8*D9</f>
        <v>1.2949999999999999</v>
      </c>
      <c r="F10">
        <f>F8*F9+G8*G9</f>
        <v>1.3649999999999998</v>
      </c>
    </row>
    <row r="11" spans="1:8" x14ac:dyDescent="0.25">
      <c r="A11" t="s">
        <v>130</v>
      </c>
      <c r="C11">
        <v>0.5</v>
      </c>
      <c r="F11">
        <f>1-C11</f>
        <v>0.5</v>
      </c>
      <c r="H11" t="s">
        <v>131</v>
      </c>
    </row>
    <row r="13" spans="1:8" x14ac:dyDescent="0.25">
      <c r="A13" t="s">
        <v>113</v>
      </c>
      <c r="C13" s="1">
        <v>0.6</v>
      </c>
      <c r="F13" s="1">
        <v>0.6</v>
      </c>
    </row>
    <row r="14" spans="1:8" x14ac:dyDescent="0.25">
      <c r="A14" t="s">
        <v>117</v>
      </c>
      <c r="C14" s="1">
        <v>0.02</v>
      </c>
      <c r="F14" s="1">
        <v>0.02</v>
      </c>
    </row>
    <row r="15" spans="1:8" x14ac:dyDescent="0.25">
      <c r="A15" t="s">
        <v>116</v>
      </c>
      <c r="C15" s="4">
        <f>C5*(1+C6+C14)</f>
        <v>0.84800000000000009</v>
      </c>
      <c r="F15" s="6">
        <f>F5*(1+F6+F14)</f>
        <v>0.84800000000000009</v>
      </c>
      <c r="H15">
        <f>(F5*(1+H17)*C8+D9*C13*D8)*C11+(F5*(1+H17)*F8+G9*F13*G8)*F11</f>
        <v>0.84800000000000098</v>
      </c>
    </row>
    <row r="16" spans="1:8" x14ac:dyDescent="0.25">
      <c r="C16" s="4"/>
      <c r="F16" s="4"/>
    </row>
    <row r="17" spans="1:11" x14ac:dyDescent="0.25">
      <c r="A17" t="s">
        <v>114</v>
      </c>
      <c r="C17" s="1">
        <f>(C15-D9*C13*D8)/(C5*C8)-1</f>
        <v>0.15441176470588247</v>
      </c>
      <c r="F17" s="1">
        <f>(F15-G9*F13*G8)/(F5*F8)-1</f>
        <v>8.8157894736842213E-2</v>
      </c>
      <c r="H17">
        <v>0.11944444444444591</v>
      </c>
    </row>
    <row r="19" spans="1:11" x14ac:dyDescent="0.25">
      <c r="A19" t="s">
        <v>127</v>
      </c>
      <c r="C19">
        <f>(C9-C5*(1+H17))*C8-C4*(1+C6)</f>
        <v>0.22077777777777674</v>
      </c>
      <c r="F19">
        <f>(F9-F5*(1+H17))*F8-F4*(1+F6)</f>
        <v>0.27122222222222103</v>
      </c>
    </row>
    <row r="20" spans="1:11" x14ac:dyDescent="0.25">
      <c r="A20" t="s">
        <v>129</v>
      </c>
      <c r="C20">
        <f>C4*(1+C6)</f>
        <v>0.20800000000000002</v>
      </c>
      <c r="F20" s="6">
        <f>F4*(1+F6)</f>
        <v>0.20800000000000002</v>
      </c>
    </row>
    <row r="21" spans="1:11" x14ac:dyDescent="0.25">
      <c r="A21" t="s">
        <v>132</v>
      </c>
      <c r="C21">
        <f>(C19-C20)/C20</f>
        <v>6.1431623931618849E-2</v>
      </c>
      <c r="F21">
        <f>(F19-F20)/F20</f>
        <v>0.3039529914529856</v>
      </c>
    </row>
    <row r="24" spans="1:11" x14ac:dyDescent="0.25">
      <c r="A24" t="s">
        <v>125</v>
      </c>
      <c r="C24">
        <v>1</v>
      </c>
      <c r="D24" t="s">
        <v>79</v>
      </c>
      <c r="F24">
        <v>1</v>
      </c>
      <c r="G24" t="s">
        <v>79</v>
      </c>
      <c r="J24">
        <v>1</v>
      </c>
      <c r="K24" t="s">
        <v>79</v>
      </c>
    </row>
    <row r="25" spans="1:11" x14ac:dyDescent="0.25">
      <c r="A25" t="s">
        <v>126</v>
      </c>
      <c r="C25">
        <v>0.2</v>
      </c>
      <c r="F25">
        <f>C25</f>
        <v>0.2</v>
      </c>
      <c r="J25">
        <f>C25</f>
        <v>0.2</v>
      </c>
    </row>
    <row r="26" spans="1:11" x14ac:dyDescent="0.25">
      <c r="A26" t="s">
        <v>109</v>
      </c>
      <c r="C26">
        <f>C24-C25</f>
        <v>0.8</v>
      </c>
      <c r="F26">
        <f>C26</f>
        <v>0.8</v>
      </c>
      <c r="J26">
        <f>C26</f>
        <v>0.8</v>
      </c>
    </row>
    <row r="27" spans="1:11" x14ac:dyDescent="0.25">
      <c r="A27" t="s">
        <v>128</v>
      </c>
      <c r="C27">
        <v>0.06</v>
      </c>
      <c r="F27">
        <f>C27</f>
        <v>0.06</v>
      </c>
      <c r="J27">
        <f>C27</f>
        <v>0.06</v>
      </c>
    </row>
    <row r="29" spans="1:11" x14ac:dyDescent="0.25">
      <c r="A29" t="s">
        <v>111</v>
      </c>
      <c r="C29">
        <v>0.85</v>
      </c>
      <c r="D29">
        <f>1-C29</f>
        <v>0.15000000000000002</v>
      </c>
      <c r="F29">
        <v>0.95</v>
      </c>
      <c r="G29">
        <f>1-F29</f>
        <v>5.0000000000000044E-2</v>
      </c>
      <c r="J29">
        <v>0.95</v>
      </c>
      <c r="K29">
        <f>1-J29</f>
        <v>5.0000000000000044E-2</v>
      </c>
    </row>
    <row r="30" spans="1:11" x14ac:dyDescent="0.25">
      <c r="A30" t="s">
        <v>110</v>
      </c>
      <c r="C30">
        <v>1.4</v>
      </c>
      <c r="D30">
        <v>0.7</v>
      </c>
      <c r="F30">
        <v>1.4</v>
      </c>
      <c r="G30">
        <v>0.7</v>
      </c>
      <c r="J30">
        <v>1.4</v>
      </c>
      <c r="K30">
        <v>0.7</v>
      </c>
    </row>
    <row r="31" spans="1:11" x14ac:dyDescent="0.25">
      <c r="A31" t="s">
        <v>112</v>
      </c>
      <c r="C31">
        <f>C29*C30+D29*D30</f>
        <v>1.2949999999999999</v>
      </c>
      <c r="F31">
        <f>F29*F30+G29*G30</f>
        <v>1.3649999999999998</v>
      </c>
      <c r="J31">
        <f>J29*J30+K29*K30</f>
        <v>1.3649999999999998</v>
      </c>
    </row>
    <row r="32" spans="1:11" x14ac:dyDescent="0.25">
      <c r="A32" t="s">
        <v>130</v>
      </c>
      <c r="C32">
        <v>0.5</v>
      </c>
      <c r="F32">
        <f>1-C32</f>
        <v>0.5</v>
      </c>
      <c r="H32" t="s">
        <v>131</v>
      </c>
      <c r="J32">
        <f>1-G32</f>
        <v>1</v>
      </c>
    </row>
    <row r="34" spans="1:11" x14ac:dyDescent="0.25">
      <c r="A34" t="s">
        <v>113</v>
      </c>
      <c r="C34" s="1">
        <v>0.6</v>
      </c>
      <c r="F34" s="1">
        <v>0.6</v>
      </c>
      <c r="J34" s="1">
        <v>0.6</v>
      </c>
    </row>
    <row r="35" spans="1:11" x14ac:dyDescent="0.25">
      <c r="A35" t="s">
        <v>117</v>
      </c>
      <c r="C35" s="1">
        <v>0.02</v>
      </c>
      <c r="F35" s="1">
        <v>0.02</v>
      </c>
      <c r="J35" s="1">
        <v>0.02</v>
      </c>
    </row>
    <row r="36" spans="1:11" x14ac:dyDescent="0.25">
      <c r="A36" t="s">
        <v>116</v>
      </c>
      <c r="C36" s="4">
        <f>C26*(1+C27+C35)</f>
        <v>0.8640000000000001</v>
      </c>
      <c r="F36" s="6">
        <f>F26*(1+F27+F35)</f>
        <v>0.8640000000000001</v>
      </c>
      <c r="H36">
        <f>(F26*(1+H38)*C29+D30*C34*D29)*C32+(F26*(1+H38)*F29+G30*F34*G29)*F32</f>
        <v>0.86399999999999966</v>
      </c>
      <c r="J36" s="6">
        <f>J26*(1+J27+J35)</f>
        <v>0.8640000000000001</v>
      </c>
    </row>
    <row r="37" spans="1:11" x14ac:dyDescent="0.25">
      <c r="C37" s="4"/>
      <c r="F37" s="4"/>
      <c r="J37" s="4"/>
    </row>
    <row r="38" spans="1:11" x14ac:dyDescent="0.25">
      <c r="A38" t="s">
        <v>114</v>
      </c>
      <c r="C38" s="1">
        <f>(C36-D30*C34*D29)/(C26*C29)-1</f>
        <v>0.17794117647058849</v>
      </c>
      <c r="F38" s="1">
        <f>(F36-G30*F34*G29)/(F26*F29)-1</f>
        <v>0.10921052631578965</v>
      </c>
      <c r="H38">
        <v>0.14166666666666641</v>
      </c>
      <c r="J38" s="1">
        <f>(J36-K30*J34*K29)/(J26*J29)-1</f>
        <v>0.10921052631578965</v>
      </c>
    </row>
    <row r="40" spans="1:11" x14ac:dyDescent="0.25">
      <c r="A40" t="s">
        <v>127</v>
      </c>
      <c r="C40">
        <f>(C30-C26*(1+H38))*C29-C25*(1+C27)</f>
        <v>0.20166666666666677</v>
      </c>
      <c r="F40">
        <f>(F30-F26*(1+H38))*F29-F25*(1+F27)</f>
        <v>0.25033333333333341</v>
      </c>
      <c r="J40">
        <f>(J30-J26*(1+J38))*J29-J25*(1+J27)</f>
        <v>0.27499999999999963</v>
      </c>
    </row>
    <row r="41" spans="1:11" x14ac:dyDescent="0.25">
      <c r="A41" t="s">
        <v>129</v>
      </c>
      <c r="C41">
        <f>C25*(1+C27)</f>
        <v>0.21200000000000002</v>
      </c>
      <c r="F41" s="6">
        <f>F25*(1+F27)</f>
        <v>0.21200000000000002</v>
      </c>
      <c r="J41" s="6">
        <f>J25*(1+J27)</f>
        <v>0.21200000000000002</v>
      </c>
    </row>
    <row r="42" spans="1:11" x14ac:dyDescent="0.25">
      <c r="A42" t="s">
        <v>132</v>
      </c>
      <c r="C42">
        <f>(C40-C41)/C41</f>
        <v>-4.8742138364779475E-2</v>
      </c>
      <c r="F42">
        <f>(F40-F41)/F41</f>
        <v>0.18081761006289332</v>
      </c>
      <c r="J42">
        <f>(J40-J41)/J41</f>
        <v>0.29716981132075287</v>
      </c>
    </row>
    <row r="45" spans="1:11" x14ac:dyDescent="0.25">
      <c r="A45" t="s">
        <v>125</v>
      </c>
      <c r="C45">
        <v>1</v>
      </c>
      <c r="D45" t="s">
        <v>79</v>
      </c>
      <c r="F45">
        <v>1</v>
      </c>
      <c r="G45" t="s">
        <v>79</v>
      </c>
      <c r="J45">
        <v>1</v>
      </c>
      <c r="K45" t="s">
        <v>79</v>
      </c>
    </row>
    <row r="46" spans="1:11" x14ac:dyDescent="0.25">
      <c r="A46" t="s">
        <v>126</v>
      </c>
      <c r="C46">
        <v>0.1</v>
      </c>
      <c r="F46">
        <f>C46</f>
        <v>0.1</v>
      </c>
      <c r="J46">
        <f>C46</f>
        <v>0.1</v>
      </c>
    </row>
    <row r="47" spans="1:11" x14ac:dyDescent="0.25">
      <c r="A47" t="s">
        <v>109</v>
      </c>
      <c r="C47">
        <f>C45-C46</f>
        <v>0.9</v>
      </c>
      <c r="F47">
        <f>C47</f>
        <v>0.9</v>
      </c>
      <c r="J47">
        <f>C47</f>
        <v>0.9</v>
      </c>
    </row>
    <row r="48" spans="1:11" x14ac:dyDescent="0.25">
      <c r="A48" t="s">
        <v>128</v>
      </c>
      <c r="C48">
        <v>0.06</v>
      </c>
      <c r="F48">
        <f>C48</f>
        <v>0.06</v>
      </c>
      <c r="J48">
        <f>C48</f>
        <v>0.06</v>
      </c>
    </row>
    <row r="50" spans="1:11" x14ac:dyDescent="0.25">
      <c r="A50" t="s">
        <v>111</v>
      </c>
      <c r="C50">
        <v>0.85</v>
      </c>
      <c r="D50">
        <f>1-C50</f>
        <v>0.15000000000000002</v>
      </c>
      <c r="F50">
        <v>0.95</v>
      </c>
      <c r="G50">
        <f>1-F50</f>
        <v>5.0000000000000044E-2</v>
      </c>
      <c r="J50">
        <v>0.95</v>
      </c>
      <c r="K50">
        <f>1-J50</f>
        <v>5.0000000000000044E-2</v>
      </c>
    </row>
    <row r="51" spans="1:11" x14ac:dyDescent="0.25">
      <c r="A51" t="s">
        <v>110</v>
      </c>
      <c r="C51">
        <v>1.4</v>
      </c>
      <c r="D51">
        <v>0.7</v>
      </c>
      <c r="F51">
        <v>1.4</v>
      </c>
      <c r="G51">
        <v>0.7</v>
      </c>
      <c r="J51">
        <v>1.4</v>
      </c>
      <c r="K51">
        <v>0.7</v>
      </c>
    </row>
    <row r="52" spans="1:11" x14ac:dyDescent="0.25">
      <c r="A52" t="s">
        <v>112</v>
      </c>
      <c r="C52">
        <f>C50*C51+D50*D51</f>
        <v>1.2949999999999999</v>
      </c>
      <c r="F52">
        <f>F50*F51+G50*G51</f>
        <v>1.3649999999999998</v>
      </c>
      <c r="J52">
        <f>J50*J51+K50*K51</f>
        <v>1.3649999999999998</v>
      </c>
    </row>
    <row r="53" spans="1:11" x14ac:dyDescent="0.25">
      <c r="A53" t="s">
        <v>130</v>
      </c>
      <c r="C53">
        <v>0.5</v>
      </c>
      <c r="F53">
        <f>1-C53</f>
        <v>0.5</v>
      </c>
      <c r="H53" t="s">
        <v>131</v>
      </c>
      <c r="J53">
        <f>1-G53</f>
        <v>1</v>
      </c>
    </row>
    <row r="55" spans="1:11" x14ac:dyDescent="0.25">
      <c r="A55" t="s">
        <v>113</v>
      </c>
      <c r="C55" s="1">
        <v>0.6</v>
      </c>
      <c r="F55" s="1">
        <v>0.6</v>
      </c>
      <c r="J55" s="1">
        <v>0.6</v>
      </c>
    </row>
    <row r="56" spans="1:11" x14ac:dyDescent="0.25">
      <c r="A56" t="s">
        <v>117</v>
      </c>
      <c r="C56" s="1">
        <v>0.02</v>
      </c>
      <c r="F56" s="1">
        <v>0.02</v>
      </c>
      <c r="J56" s="1">
        <v>0.02</v>
      </c>
    </row>
    <row r="57" spans="1:11" x14ac:dyDescent="0.25">
      <c r="A57" t="s">
        <v>116</v>
      </c>
      <c r="C57" s="4">
        <f>C47*(1+C48+C56)</f>
        <v>0.97200000000000009</v>
      </c>
      <c r="F57" s="6">
        <f>F47*(1+F48+F56)</f>
        <v>0.97200000000000009</v>
      </c>
      <c r="H57">
        <f>(F47*(1+H59)*C50+D51*C55*D50)*C53+(F47*(1+H59)*F50+G51*F55*G50)*F53</f>
        <v>0.97200000000000053</v>
      </c>
      <c r="J57" s="6">
        <f>J47*(1+J48+J56)</f>
        <v>0.97200000000000009</v>
      </c>
    </row>
    <row r="58" spans="1:11" x14ac:dyDescent="0.25">
      <c r="C58" s="4"/>
      <c r="F58" s="4"/>
      <c r="J58" s="4"/>
    </row>
    <row r="59" spans="1:11" x14ac:dyDescent="0.25">
      <c r="A59" t="s">
        <v>114</v>
      </c>
      <c r="C59" s="1">
        <f>(C57-D51*C55*D50)/(C47*C50)-1</f>
        <v>0.18823529411764706</v>
      </c>
      <c r="F59" s="1">
        <f>(F57-G51*F55*G50)/(F47*F50)-1</f>
        <v>0.11228070175438609</v>
      </c>
      <c r="H59">
        <v>0.14814814814814886</v>
      </c>
      <c r="J59" s="1">
        <f>(J57-K51*J55*K50)/(J47*J50)-1</f>
        <v>0.11228070175438609</v>
      </c>
    </row>
    <row r="61" spans="1:11" x14ac:dyDescent="0.25">
      <c r="A61" t="s">
        <v>127</v>
      </c>
      <c r="C61">
        <f>(C51-C47*(1+H59))*C50-C46*(1+C48)</f>
        <v>0.20566666666666608</v>
      </c>
      <c r="F61">
        <f>(F51-F47*(1+H59))*F50-F46*(1+F48)</f>
        <v>0.24233333333333271</v>
      </c>
      <c r="J61">
        <f>(J51-J47*(1+J59))*J50-J46*(1+J48)</f>
        <v>0.2729999999999998</v>
      </c>
    </row>
    <row r="62" spans="1:11" x14ac:dyDescent="0.25">
      <c r="A62" t="s">
        <v>129</v>
      </c>
      <c r="C62">
        <f>C46*(1+C48)</f>
        <v>0.10600000000000001</v>
      </c>
      <c r="F62" s="6">
        <f>F46*(1+F48)</f>
        <v>0.10600000000000001</v>
      </c>
      <c r="J62" s="6">
        <f>J46*(1+J48)</f>
        <v>0.10600000000000001</v>
      </c>
    </row>
    <row r="63" spans="1:11" x14ac:dyDescent="0.25">
      <c r="A63" t="s">
        <v>132</v>
      </c>
      <c r="C63">
        <f>(C61-C62)/C62</f>
        <v>0.94025157232703827</v>
      </c>
      <c r="F63">
        <f>(F61-F62)/F62</f>
        <v>1.2861635220125724</v>
      </c>
      <c r="J63">
        <f>(J61-J62)/J62</f>
        <v>1.5754716981132053</v>
      </c>
    </row>
    <row r="67" spans="1:12" x14ac:dyDescent="0.25">
      <c r="A67" t="s">
        <v>144</v>
      </c>
    </row>
    <row r="68" spans="1:12" x14ac:dyDescent="0.25">
      <c r="B68">
        <v>0</v>
      </c>
      <c r="C68">
        <v>1</v>
      </c>
      <c r="D68">
        <v>2</v>
      </c>
      <c r="E68">
        <v>3</v>
      </c>
      <c r="F68">
        <v>4</v>
      </c>
      <c r="G68">
        <v>5</v>
      </c>
      <c r="H68">
        <v>6</v>
      </c>
      <c r="I68">
        <v>7</v>
      </c>
      <c r="J68">
        <v>8</v>
      </c>
      <c r="K68">
        <v>9</v>
      </c>
      <c r="L68">
        <v>10</v>
      </c>
    </row>
    <row r="69" spans="1:12" x14ac:dyDescent="0.25">
      <c r="A69" t="s">
        <v>36</v>
      </c>
      <c r="B69">
        <v>-10</v>
      </c>
      <c r="C69">
        <v>3</v>
      </c>
      <c r="D69">
        <v>3</v>
      </c>
      <c r="E69">
        <v>3</v>
      </c>
      <c r="F69">
        <v>3</v>
      </c>
      <c r="G69">
        <v>3</v>
      </c>
      <c r="H69">
        <v>3</v>
      </c>
      <c r="I69">
        <v>3</v>
      </c>
      <c r="J69">
        <v>3</v>
      </c>
      <c r="K69">
        <v>3</v>
      </c>
      <c r="L69">
        <v>3</v>
      </c>
    </row>
    <row r="70" spans="1:12" x14ac:dyDescent="0.25">
      <c r="A70" t="s">
        <v>37</v>
      </c>
      <c r="B70" s="1">
        <v>0.1</v>
      </c>
    </row>
    <row r="71" spans="1:12" x14ac:dyDescent="0.25">
      <c r="A71" t="s">
        <v>39</v>
      </c>
      <c r="B71">
        <f>B69/(1+$B70)^B68</f>
        <v>-10</v>
      </c>
      <c r="C71">
        <f t="shared" ref="C71:L71" si="0">C69/(1+$B70)^C68</f>
        <v>2.7272727272727271</v>
      </c>
      <c r="D71">
        <f t="shared" si="0"/>
        <v>2.4793388429752063</v>
      </c>
      <c r="E71">
        <f t="shared" si="0"/>
        <v>2.2539444027047324</v>
      </c>
      <c r="F71">
        <f t="shared" si="0"/>
        <v>2.0490403660952117</v>
      </c>
      <c r="G71">
        <f t="shared" si="0"/>
        <v>1.8627639691774649</v>
      </c>
      <c r="H71">
        <f t="shared" si="0"/>
        <v>1.6934217901613315</v>
      </c>
      <c r="I71">
        <f t="shared" si="0"/>
        <v>1.5394743546921192</v>
      </c>
      <c r="J71">
        <f t="shared" si="0"/>
        <v>1.3995221406291996</v>
      </c>
      <c r="K71">
        <f t="shared" si="0"/>
        <v>1.2722928551174539</v>
      </c>
      <c r="L71">
        <f t="shared" si="0"/>
        <v>1.1566298682885945</v>
      </c>
    </row>
    <row r="72" spans="1:12" x14ac:dyDescent="0.25">
      <c r="A72" t="s">
        <v>38</v>
      </c>
      <c r="B72">
        <f>SUM(B71:L71)</f>
        <v>8.4337013171140427</v>
      </c>
    </row>
    <row r="74" spans="1:12" x14ac:dyDescent="0.25">
      <c r="A74" t="s">
        <v>40</v>
      </c>
      <c r="B74" s="1">
        <v>0.1</v>
      </c>
    </row>
    <row r="75" spans="1:12" x14ac:dyDescent="0.25">
      <c r="A75" t="s">
        <v>36</v>
      </c>
      <c r="B75">
        <v>-20</v>
      </c>
      <c r="C75">
        <v>3</v>
      </c>
      <c r="D75">
        <f>C75*(1+$B74)</f>
        <v>3.3000000000000003</v>
      </c>
      <c r="E75">
        <f t="shared" ref="E75:L75" si="1">D75*(1+$B74)</f>
        <v>3.6300000000000008</v>
      </c>
      <c r="F75">
        <f t="shared" si="1"/>
        <v>3.9930000000000012</v>
      </c>
      <c r="G75">
        <f t="shared" si="1"/>
        <v>4.3923000000000014</v>
      </c>
      <c r="H75">
        <f t="shared" si="1"/>
        <v>4.8315300000000017</v>
      </c>
      <c r="I75">
        <f t="shared" si="1"/>
        <v>5.3146830000000023</v>
      </c>
      <c r="J75">
        <f t="shared" si="1"/>
        <v>5.8461513000000034</v>
      </c>
      <c r="K75">
        <f t="shared" si="1"/>
        <v>6.4307664300000038</v>
      </c>
      <c r="L75">
        <f t="shared" si="1"/>
        <v>7.0738430730000044</v>
      </c>
    </row>
    <row r="76" spans="1:12" x14ac:dyDescent="0.25">
      <c r="A76" t="s">
        <v>37</v>
      </c>
      <c r="B76" s="1">
        <v>0.1</v>
      </c>
    </row>
    <row r="77" spans="1:12" x14ac:dyDescent="0.25">
      <c r="A77" t="s">
        <v>39</v>
      </c>
      <c r="B77">
        <f>B75/(1+$B76)^B68</f>
        <v>-20</v>
      </c>
      <c r="C77">
        <f t="shared" ref="C77:L77" si="2">C75/(1+$B76)^C68</f>
        <v>2.7272727272727271</v>
      </c>
      <c r="D77">
        <f t="shared" si="2"/>
        <v>2.7272727272727271</v>
      </c>
      <c r="E77">
        <f t="shared" si="2"/>
        <v>2.7272727272727271</v>
      </c>
      <c r="F77">
        <f t="shared" si="2"/>
        <v>2.7272727272727275</v>
      </c>
      <c r="G77">
        <f t="shared" si="2"/>
        <v>2.7272727272727271</v>
      </c>
      <c r="H77">
        <f t="shared" si="2"/>
        <v>2.7272727272727271</v>
      </c>
      <c r="I77">
        <f t="shared" si="2"/>
        <v>2.7272727272727266</v>
      </c>
      <c r="J77">
        <f t="shared" si="2"/>
        <v>2.7272727272727275</v>
      </c>
      <c r="K77">
        <f t="shared" si="2"/>
        <v>2.7272727272727271</v>
      </c>
      <c r="L77">
        <f t="shared" si="2"/>
        <v>2.7272727272727271</v>
      </c>
    </row>
    <row r="78" spans="1:12" x14ac:dyDescent="0.25">
      <c r="A78" t="s">
        <v>38</v>
      </c>
      <c r="B78">
        <f>SUM(B77:L77)</f>
        <v>7.272727272727268</v>
      </c>
    </row>
    <row r="80" spans="1:12" x14ac:dyDescent="0.25">
      <c r="B80">
        <v>0</v>
      </c>
      <c r="C80">
        <v>1</v>
      </c>
      <c r="D80">
        <v>2</v>
      </c>
      <c r="E80">
        <v>3</v>
      </c>
      <c r="F80">
        <v>4</v>
      </c>
      <c r="G80">
        <v>5</v>
      </c>
      <c r="H80">
        <v>6</v>
      </c>
      <c r="I80">
        <v>7</v>
      </c>
      <c r="J80">
        <v>8</v>
      </c>
      <c r="K80">
        <v>9</v>
      </c>
      <c r="L80">
        <v>10</v>
      </c>
    </row>
    <row r="81" spans="1:12" x14ac:dyDescent="0.25">
      <c r="A81" t="s">
        <v>36</v>
      </c>
      <c r="B81">
        <v>-10</v>
      </c>
      <c r="C81">
        <v>3</v>
      </c>
      <c r="D81">
        <v>3</v>
      </c>
      <c r="E81">
        <v>3</v>
      </c>
      <c r="F81">
        <v>3</v>
      </c>
      <c r="G81">
        <v>3</v>
      </c>
      <c r="H81">
        <v>3</v>
      </c>
      <c r="I81">
        <v>3</v>
      </c>
      <c r="J81">
        <v>3</v>
      </c>
      <c r="K81">
        <v>3</v>
      </c>
      <c r="L81">
        <v>3</v>
      </c>
    </row>
    <row r="82" spans="1:12" x14ac:dyDescent="0.25">
      <c r="A82" t="s">
        <v>37</v>
      </c>
      <c r="B82" s="1">
        <v>0.03</v>
      </c>
    </row>
    <row r="83" spans="1:12" x14ac:dyDescent="0.25">
      <c r="A83" t="s">
        <v>39</v>
      </c>
      <c r="B83">
        <f>B81/(1+$B82)^B68</f>
        <v>-10</v>
      </c>
      <c r="C83">
        <f t="shared" ref="C83:L83" si="3">C81/(1+$B82)^C68</f>
        <v>2.912621359223301</v>
      </c>
      <c r="D83">
        <f t="shared" si="3"/>
        <v>2.8277877274012631</v>
      </c>
      <c r="E83">
        <f t="shared" si="3"/>
        <v>2.7454249780594786</v>
      </c>
      <c r="F83">
        <f t="shared" si="3"/>
        <v>2.6654611437470668</v>
      </c>
      <c r="G83">
        <f t="shared" si="3"/>
        <v>2.5878263531524923</v>
      </c>
      <c r="H83">
        <f t="shared" si="3"/>
        <v>2.5124527700509631</v>
      </c>
      <c r="I83">
        <f t="shared" si="3"/>
        <v>2.4392745340300612</v>
      </c>
      <c r="J83">
        <f t="shared" si="3"/>
        <v>2.3682277029418075</v>
      </c>
      <c r="K83">
        <f t="shared" si="3"/>
        <v>2.2992501970308807</v>
      </c>
      <c r="L83">
        <f t="shared" si="3"/>
        <v>2.2322817446901757</v>
      </c>
    </row>
    <row r="84" spans="1:12" x14ac:dyDescent="0.25">
      <c r="A84" t="s">
        <v>38</v>
      </c>
      <c r="B84">
        <f>SUM(B83:L83)</f>
        <v>15.590608510327492</v>
      </c>
    </row>
    <row r="86" spans="1:12" x14ac:dyDescent="0.25">
      <c r="A86" t="s">
        <v>40</v>
      </c>
      <c r="B86" s="1">
        <v>0.1</v>
      </c>
    </row>
    <row r="87" spans="1:12" x14ac:dyDescent="0.25">
      <c r="A87" t="s">
        <v>36</v>
      </c>
      <c r="B87">
        <v>-20</v>
      </c>
      <c r="C87">
        <v>3</v>
      </c>
      <c r="D87">
        <f t="shared" ref="D87:L87" si="4">C87*(1+$B86)</f>
        <v>3.3000000000000003</v>
      </c>
      <c r="E87">
        <f t="shared" si="4"/>
        <v>3.6300000000000008</v>
      </c>
      <c r="F87">
        <f t="shared" si="4"/>
        <v>3.9930000000000012</v>
      </c>
      <c r="G87">
        <f t="shared" si="4"/>
        <v>4.3923000000000014</v>
      </c>
      <c r="H87">
        <f t="shared" si="4"/>
        <v>4.8315300000000017</v>
      </c>
      <c r="I87">
        <f t="shared" si="4"/>
        <v>5.3146830000000023</v>
      </c>
      <c r="J87">
        <f t="shared" si="4"/>
        <v>5.8461513000000034</v>
      </c>
      <c r="K87">
        <f t="shared" si="4"/>
        <v>6.4307664300000038</v>
      </c>
      <c r="L87">
        <f t="shared" si="4"/>
        <v>7.0738430730000044</v>
      </c>
    </row>
    <row r="88" spans="1:12" x14ac:dyDescent="0.25">
      <c r="A88" t="s">
        <v>37</v>
      </c>
      <c r="B88" s="1">
        <v>0.03</v>
      </c>
    </row>
    <row r="89" spans="1:12" x14ac:dyDescent="0.25">
      <c r="A89" t="s">
        <v>39</v>
      </c>
      <c r="B89">
        <f>B87/(1+$B88)^B68</f>
        <v>-20</v>
      </c>
      <c r="C89">
        <f t="shared" ref="C89:L89" si="5">C87/(1+$B88)^C68</f>
        <v>2.912621359223301</v>
      </c>
      <c r="D89">
        <f t="shared" si="5"/>
        <v>3.1105665001413896</v>
      </c>
      <c r="E89">
        <f t="shared" si="5"/>
        <v>3.3219642234519697</v>
      </c>
      <c r="F89">
        <f t="shared" si="5"/>
        <v>3.5477287823273471</v>
      </c>
      <c r="G89">
        <f t="shared" si="5"/>
        <v>3.7888365636505652</v>
      </c>
      <c r="H89">
        <f t="shared" si="5"/>
        <v>4.0463303106947786</v>
      </c>
      <c r="I89">
        <f t="shared" si="5"/>
        <v>4.3213236327808309</v>
      </c>
      <c r="J89">
        <f t="shared" si="5"/>
        <v>4.6150058214164229</v>
      </c>
      <c r="K89">
        <f t="shared" si="5"/>
        <v>4.9286469937456943</v>
      </c>
      <c r="L89">
        <f t="shared" si="5"/>
        <v>5.2636035855536543</v>
      </c>
    </row>
    <row r="90" spans="1:12" x14ac:dyDescent="0.25">
      <c r="B90">
        <f>SUM(B89:L89)</f>
        <v>19.856627772985952</v>
      </c>
    </row>
    <row r="93" spans="1:12" x14ac:dyDescent="0.25">
      <c r="B93">
        <v>0</v>
      </c>
      <c r="C93">
        <v>1</v>
      </c>
      <c r="D93">
        <v>2</v>
      </c>
      <c r="E93">
        <v>3</v>
      </c>
      <c r="F93">
        <v>4</v>
      </c>
      <c r="G93">
        <v>5</v>
      </c>
      <c r="H93">
        <v>6</v>
      </c>
      <c r="I93">
        <v>7</v>
      </c>
      <c r="J93">
        <v>8</v>
      </c>
      <c r="K93">
        <v>9</v>
      </c>
      <c r="L93">
        <v>10</v>
      </c>
    </row>
    <row r="94" spans="1:12" x14ac:dyDescent="0.25">
      <c r="A94" t="s">
        <v>36</v>
      </c>
      <c r="B94">
        <v>-10</v>
      </c>
      <c r="C94">
        <v>3</v>
      </c>
      <c r="D94">
        <v>3</v>
      </c>
      <c r="E94">
        <v>3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</row>
    <row r="95" spans="1:12" x14ac:dyDescent="0.25">
      <c r="A95" t="s">
        <v>37</v>
      </c>
      <c r="B95" s="1">
        <v>0.1</v>
      </c>
    </row>
    <row r="96" spans="1:12" x14ac:dyDescent="0.25">
      <c r="A96" t="s">
        <v>39</v>
      </c>
      <c r="B96">
        <f>B94/(1+$B95)^B93</f>
        <v>-10</v>
      </c>
      <c r="C96">
        <f t="shared" ref="C96:L96" si="6">C94/(1+$B95)^C93</f>
        <v>2.7272727272727271</v>
      </c>
      <c r="D96">
        <f t="shared" si="6"/>
        <v>2.4793388429752063</v>
      </c>
      <c r="E96">
        <f t="shared" si="6"/>
        <v>2.2539444027047324</v>
      </c>
      <c r="F96">
        <f t="shared" si="6"/>
        <v>0</v>
      </c>
      <c r="G96">
        <f t="shared" si="6"/>
        <v>0</v>
      </c>
      <c r="H96">
        <f t="shared" si="6"/>
        <v>0</v>
      </c>
      <c r="I96">
        <f t="shared" si="6"/>
        <v>0</v>
      </c>
      <c r="J96">
        <f t="shared" si="6"/>
        <v>0</v>
      </c>
      <c r="K96">
        <f t="shared" si="6"/>
        <v>0</v>
      </c>
      <c r="L96">
        <f t="shared" si="6"/>
        <v>0</v>
      </c>
    </row>
    <row r="97" spans="1:12" x14ac:dyDescent="0.25">
      <c r="A97" t="s">
        <v>38</v>
      </c>
      <c r="B97">
        <f>SUM(B96:L96)</f>
        <v>-2.5394440270473346</v>
      </c>
    </row>
    <row r="99" spans="1:12" x14ac:dyDescent="0.25">
      <c r="A99" t="s">
        <v>40</v>
      </c>
      <c r="B99" s="1">
        <v>0.1</v>
      </c>
    </row>
    <row r="100" spans="1:12" x14ac:dyDescent="0.25">
      <c r="A100" t="s">
        <v>36</v>
      </c>
      <c r="B100">
        <v>-20</v>
      </c>
      <c r="C100">
        <v>3</v>
      </c>
      <c r="D100">
        <f>C100*(1+$B99)</f>
        <v>3.3000000000000003</v>
      </c>
      <c r="E100">
        <f t="shared" ref="E100:L100" si="7">D100*(1+$B99)</f>
        <v>3.6300000000000008</v>
      </c>
      <c r="F100">
        <v>0</v>
      </c>
      <c r="G100">
        <v>0</v>
      </c>
      <c r="H100">
        <v>0</v>
      </c>
      <c r="I100">
        <f t="shared" si="7"/>
        <v>0</v>
      </c>
      <c r="J100">
        <f t="shared" si="7"/>
        <v>0</v>
      </c>
      <c r="K100">
        <f t="shared" si="7"/>
        <v>0</v>
      </c>
      <c r="L100">
        <f t="shared" si="7"/>
        <v>0</v>
      </c>
    </row>
    <row r="101" spans="1:12" x14ac:dyDescent="0.25">
      <c r="A101" t="s">
        <v>37</v>
      </c>
      <c r="B101" s="1">
        <v>0.1</v>
      </c>
    </row>
    <row r="102" spans="1:12" x14ac:dyDescent="0.25">
      <c r="A102" t="s">
        <v>39</v>
      </c>
      <c r="B102">
        <f>B100/(1+$B101)^B93</f>
        <v>-20</v>
      </c>
      <c r="C102">
        <f t="shared" ref="C102:L102" si="8">C100/(1+$B101)^C93</f>
        <v>2.7272727272727271</v>
      </c>
      <c r="D102">
        <f t="shared" si="8"/>
        <v>2.7272727272727271</v>
      </c>
      <c r="E102">
        <f t="shared" si="8"/>
        <v>2.7272727272727271</v>
      </c>
      <c r="F102">
        <f t="shared" si="8"/>
        <v>0</v>
      </c>
      <c r="G102">
        <f t="shared" si="8"/>
        <v>0</v>
      </c>
      <c r="H102">
        <f t="shared" si="8"/>
        <v>0</v>
      </c>
      <c r="I102">
        <f t="shared" si="8"/>
        <v>0</v>
      </c>
      <c r="J102">
        <f t="shared" si="8"/>
        <v>0</v>
      </c>
      <c r="K102">
        <f t="shared" si="8"/>
        <v>0</v>
      </c>
      <c r="L102">
        <f t="shared" si="8"/>
        <v>0</v>
      </c>
    </row>
    <row r="103" spans="1:12" x14ac:dyDescent="0.25">
      <c r="A103" t="s">
        <v>38</v>
      </c>
      <c r="B103">
        <f>SUM(B102:L102)</f>
        <v>-11.81818181818182</v>
      </c>
    </row>
    <row r="105" spans="1:12" x14ac:dyDescent="0.25">
      <c r="B105">
        <v>0</v>
      </c>
      <c r="C105">
        <v>1</v>
      </c>
      <c r="D105">
        <v>2</v>
      </c>
      <c r="E105">
        <v>3</v>
      </c>
      <c r="F105">
        <v>4</v>
      </c>
      <c r="G105">
        <v>5</v>
      </c>
      <c r="H105">
        <v>6</v>
      </c>
      <c r="I105">
        <v>7</v>
      </c>
      <c r="J105">
        <v>8</v>
      </c>
      <c r="K105">
        <v>9</v>
      </c>
      <c r="L105">
        <v>10</v>
      </c>
    </row>
    <row r="106" spans="1:12" x14ac:dyDescent="0.25">
      <c r="A106" t="s">
        <v>36</v>
      </c>
      <c r="B106">
        <v>-10</v>
      </c>
      <c r="C106">
        <v>3</v>
      </c>
      <c r="D106">
        <v>3</v>
      </c>
      <c r="E106">
        <v>3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</row>
    <row r="107" spans="1:12" x14ac:dyDescent="0.25">
      <c r="A107" t="s">
        <v>37</v>
      </c>
      <c r="B107" s="1">
        <v>0.03</v>
      </c>
    </row>
    <row r="108" spans="1:12" x14ac:dyDescent="0.25">
      <c r="A108" t="s">
        <v>39</v>
      </c>
      <c r="B108">
        <f t="shared" ref="B108:L108" si="9">B106/(1+$B107)^B93</f>
        <v>-10</v>
      </c>
      <c r="C108">
        <f t="shared" si="9"/>
        <v>2.912621359223301</v>
      </c>
      <c r="D108">
        <f t="shared" si="9"/>
        <v>2.8277877274012631</v>
      </c>
      <c r="E108">
        <f t="shared" si="9"/>
        <v>2.7454249780594786</v>
      </c>
      <c r="F108">
        <f t="shared" si="9"/>
        <v>0</v>
      </c>
      <c r="G108">
        <f t="shared" si="9"/>
        <v>0</v>
      </c>
      <c r="H108">
        <f t="shared" si="9"/>
        <v>0</v>
      </c>
      <c r="I108">
        <f t="shared" si="9"/>
        <v>0</v>
      </c>
      <c r="J108">
        <f t="shared" si="9"/>
        <v>0</v>
      </c>
      <c r="K108">
        <f t="shared" si="9"/>
        <v>0</v>
      </c>
      <c r="L108">
        <f t="shared" si="9"/>
        <v>0</v>
      </c>
    </row>
    <row r="109" spans="1:12" x14ac:dyDescent="0.25">
      <c r="A109" t="s">
        <v>38</v>
      </c>
      <c r="B109">
        <f>SUM(B108:L108)</f>
        <v>-1.5141659353159564</v>
      </c>
    </row>
    <row r="111" spans="1:12" x14ac:dyDescent="0.25">
      <c r="A111" t="s">
        <v>40</v>
      </c>
      <c r="B111" s="1">
        <v>0.1</v>
      </c>
    </row>
    <row r="112" spans="1:12" x14ac:dyDescent="0.25">
      <c r="A112" t="s">
        <v>36</v>
      </c>
      <c r="B112">
        <v>-20</v>
      </c>
      <c r="C112">
        <v>3</v>
      </c>
      <c r="D112">
        <f t="shared" ref="D112:L112" si="10">C112*(1+$B111)</f>
        <v>3.3000000000000003</v>
      </c>
      <c r="E112">
        <f t="shared" si="10"/>
        <v>3.6300000000000008</v>
      </c>
      <c r="F112">
        <v>0</v>
      </c>
      <c r="G112">
        <f t="shared" si="10"/>
        <v>0</v>
      </c>
      <c r="H112">
        <v>0</v>
      </c>
      <c r="I112">
        <f t="shared" si="10"/>
        <v>0</v>
      </c>
      <c r="J112">
        <f t="shared" si="10"/>
        <v>0</v>
      </c>
      <c r="K112">
        <f t="shared" si="10"/>
        <v>0</v>
      </c>
      <c r="L112">
        <f t="shared" si="10"/>
        <v>0</v>
      </c>
    </row>
    <row r="113" spans="1:12" x14ac:dyDescent="0.25">
      <c r="A113" t="s">
        <v>37</v>
      </c>
      <c r="B113" s="1">
        <v>0.03</v>
      </c>
    </row>
    <row r="114" spans="1:12" x14ac:dyDescent="0.25">
      <c r="A114" t="s">
        <v>39</v>
      </c>
      <c r="B114">
        <f t="shared" ref="B114:L114" si="11">B112/(1+$B113)^B93</f>
        <v>-20</v>
      </c>
      <c r="C114">
        <f t="shared" si="11"/>
        <v>2.912621359223301</v>
      </c>
      <c r="D114">
        <f t="shared" si="11"/>
        <v>3.1105665001413896</v>
      </c>
      <c r="E114">
        <f t="shared" si="11"/>
        <v>3.3219642234519697</v>
      </c>
      <c r="F114">
        <f t="shared" si="11"/>
        <v>0</v>
      </c>
      <c r="G114">
        <f t="shared" si="11"/>
        <v>0</v>
      </c>
      <c r="H114">
        <f t="shared" si="11"/>
        <v>0</v>
      </c>
      <c r="I114">
        <f t="shared" si="11"/>
        <v>0</v>
      </c>
      <c r="J114">
        <f t="shared" si="11"/>
        <v>0</v>
      </c>
      <c r="K114">
        <f t="shared" si="11"/>
        <v>0</v>
      </c>
      <c r="L114">
        <f t="shared" si="11"/>
        <v>0</v>
      </c>
    </row>
    <row r="115" spans="1:12" x14ac:dyDescent="0.25">
      <c r="A115" t="s">
        <v>38</v>
      </c>
      <c r="B115">
        <f>SUM(B114:L114)</f>
        <v>-10.654847917183339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Monetary Policy</vt:lpstr>
      <vt:lpstr>HFixedCost</vt:lpstr>
      <vt:lpstr>HDiscounting</vt:lpstr>
      <vt:lpstr>HAsset</vt:lpstr>
      <vt:lpstr>HFinancingOptions</vt:lpstr>
      <vt:lpstr>HRiskProfit</vt:lpstr>
      <vt:lpstr>HLimitedLiability</vt:lpstr>
      <vt:lpstr>HSustainability</vt:lpstr>
      <vt:lpstr>Discounting2</vt:lpstr>
      <vt:lpstr>Discounting</vt:lpstr>
      <vt:lpstr>Discounting3</vt:lpstr>
      <vt:lpstr>RiskProfit</vt:lpstr>
      <vt:lpstr>FixedCostSlides</vt:lpstr>
      <vt:lpstr>LimitedLiabilitySlides</vt:lpstr>
    </vt:vector>
  </TitlesOfParts>
  <Company>UNBC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</dc:creator>
  <cp:lastModifiedBy>Jing Chen</cp:lastModifiedBy>
  <cp:lastPrinted>2014-01-11T21:14:36Z</cp:lastPrinted>
  <dcterms:created xsi:type="dcterms:W3CDTF">2009-10-15T19:27:40Z</dcterms:created>
  <dcterms:modified xsi:type="dcterms:W3CDTF">2022-11-07T15:43:01Z</dcterms:modified>
</cp:coreProperties>
</file>