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.unbc.ca\chenj\public_html\course\420\"/>
    </mc:Choice>
  </mc:AlternateContent>
  <xr:revisionPtr revIDLastSave="0" documentId="8_{46A8A887-5EF0-4ED0-897E-7982540EF711}" xr6:coauthVersionLast="45" xr6:coauthVersionMax="45" xr10:uidLastSave="{00000000-0000-0000-0000-000000000000}"/>
  <bookViews>
    <workbookView xWindow="-103" yWindow="-103" windowWidth="16663" windowHeight="8863" activeTab="5" xr2:uid="{00000000-000D-0000-FFFF-FFFF00000000}"/>
  </bookViews>
  <sheets>
    <sheet name="Example 1" sheetId="15" r:id="rId1"/>
    <sheet name="Example 3" sheetId="19" r:id="rId2"/>
    <sheet name="Example 4" sheetId="20" r:id="rId3"/>
    <sheet name="Example 5" sheetId="16" r:id="rId4"/>
    <sheet name="Example 6" sheetId="17" r:id="rId5"/>
    <sheet name="Sheet1" sheetId="18" r:id="rId6"/>
    <sheet name="Homework1" sheetId="13" r:id="rId7"/>
    <sheet name="Homework2" sheetId="14" r:id="rId8"/>
    <sheet name="Homework3" sheetId="1" r:id="rId9"/>
    <sheet name="Homework4" sheetId="2" r:id="rId10"/>
    <sheet name="Homework6" sheetId="4" r:id="rId11"/>
    <sheet name="Chart1" sheetId="7" r:id="rId12"/>
    <sheet name="Chart2" sheetId="8" r:id="rId13"/>
    <sheet name="slope of yield curve and volati" sheetId="6" r:id="rId14"/>
    <sheet name="Chart4" sheetId="12" r:id="rId15"/>
    <sheet name="leverage and debt rate" sheetId="9" r:id="rId16"/>
    <sheet name="Sheet4" sheetId="10" r:id="rId17"/>
    <sheet name="Chart3" sheetId="11" r:id="rId18"/>
    <sheet name="maturity and lending rate" sheetId="5" r:id="rId19"/>
    <sheet name="example" sheetId="3" r:id="rId20"/>
  </sheets>
  <definedNames>
    <definedName name="solver_adj" localSheetId="19" hidden="1">example!$J$10</definedName>
    <definedName name="solver_adj" localSheetId="10" hidden="1">Homework6!$J$10</definedName>
    <definedName name="solver_adj" localSheetId="15" hidden="1">'leverage and debt rate'!$L$10</definedName>
    <definedName name="solver_adj" localSheetId="18" hidden="1">'maturity and lending rate'!$L$10</definedName>
    <definedName name="solver_adj" localSheetId="16" hidden="1">Sheet4!$L$10</definedName>
    <definedName name="solver_adj" localSheetId="13" hidden="1">'slope of yield curve and volati'!$L$10</definedName>
    <definedName name="solver_cvg" localSheetId="19" hidden="1">0.0001</definedName>
    <definedName name="solver_cvg" localSheetId="10" hidden="1">0.0001</definedName>
    <definedName name="solver_cvg" localSheetId="15" hidden="1">0.0001</definedName>
    <definedName name="solver_cvg" localSheetId="18" hidden="1">0.0001</definedName>
    <definedName name="solver_cvg" localSheetId="16" hidden="1">0.0001</definedName>
    <definedName name="solver_cvg" localSheetId="13" hidden="1">0.0001</definedName>
    <definedName name="solver_drv" localSheetId="19" hidden="1">1</definedName>
    <definedName name="solver_drv" localSheetId="10" hidden="1">1</definedName>
    <definedName name="solver_drv" localSheetId="15" hidden="1">1</definedName>
    <definedName name="solver_drv" localSheetId="18" hidden="1">1</definedName>
    <definedName name="solver_drv" localSheetId="16" hidden="1">1</definedName>
    <definedName name="solver_drv" localSheetId="13" hidden="1">1</definedName>
    <definedName name="solver_est" localSheetId="19" hidden="1">1</definedName>
    <definedName name="solver_est" localSheetId="10" hidden="1">1</definedName>
    <definedName name="solver_est" localSheetId="15" hidden="1">1</definedName>
    <definedName name="solver_est" localSheetId="18" hidden="1">1</definedName>
    <definedName name="solver_est" localSheetId="16" hidden="1">1</definedName>
    <definedName name="solver_est" localSheetId="13" hidden="1">1</definedName>
    <definedName name="solver_itr" localSheetId="19" hidden="1">100</definedName>
    <definedName name="solver_itr" localSheetId="10" hidden="1">100</definedName>
    <definedName name="solver_itr" localSheetId="15" hidden="1">100</definedName>
    <definedName name="solver_itr" localSheetId="18" hidden="1">100</definedName>
    <definedName name="solver_itr" localSheetId="16" hidden="1">100</definedName>
    <definedName name="solver_itr" localSheetId="13" hidden="1">100</definedName>
    <definedName name="solver_lin" localSheetId="19" hidden="1">2</definedName>
    <definedName name="solver_lin" localSheetId="10" hidden="1">2</definedName>
    <definedName name="solver_lin" localSheetId="15" hidden="1">2</definedName>
    <definedName name="solver_lin" localSheetId="18" hidden="1">2</definedName>
    <definedName name="solver_lin" localSheetId="16" hidden="1">2</definedName>
    <definedName name="solver_lin" localSheetId="13" hidden="1">2</definedName>
    <definedName name="solver_neg" localSheetId="19" hidden="1">2</definedName>
    <definedName name="solver_neg" localSheetId="10" hidden="1">2</definedName>
    <definedName name="solver_neg" localSheetId="15" hidden="1">2</definedName>
    <definedName name="solver_neg" localSheetId="18" hidden="1">2</definedName>
    <definedName name="solver_neg" localSheetId="16" hidden="1">2</definedName>
    <definedName name="solver_neg" localSheetId="13" hidden="1">2</definedName>
    <definedName name="solver_num" localSheetId="19" hidden="1">0</definedName>
    <definedName name="solver_num" localSheetId="10" hidden="1">0</definedName>
    <definedName name="solver_num" localSheetId="15" hidden="1">0</definedName>
    <definedName name="solver_num" localSheetId="18" hidden="1">0</definedName>
    <definedName name="solver_num" localSheetId="16" hidden="1">0</definedName>
    <definedName name="solver_num" localSheetId="13" hidden="1">0</definedName>
    <definedName name="solver_nwt" localSheetId="19" hidden="1">1</definedName>
    <definedName name="solver_nwt" localSheetId="10" hidden="1">1</definedName>
    <definedName name="solver_nwt" localSheetId="15" hidden="1">1</definedName>
    <definedName name="solver_nwt" localSheetId="18" hidden="1">1</definedName>
    <definedName name="solver_nwt" localSheetId="16" hidden="1">1</definedName>
    <definedName name="solver_nwt" localSheetId="13" hidden="1">1</definedName>
    <definedName name="solver_opt" localSheetId="19" hidden="1">example!$J$20</definedName>
    <definedName name="solver_opt" localSheetId="10" hidden="1">Homework6!$J$20</definedName>
    <definedName name="solver_opt" localSheetId="15" hidden="1">'leverage and debt rate'!$L$20</definedName>
    <definedName name="solver_opt" localSheetId="18" hidden="1">'maturity and lending rate'!$L$20</definedName>
    <definedName name="solver_opt" localSheetId="16" hidden="1">Sheet4!$L$20</definedName>
    <definedName name="solver_opt" localSheetId="13" hidden="1">'slope of yield curve and volati'!$L$20</definedName>
    <definedName name="solver_pre" localSheetId="19" hidden="1">0.000001</definedName>
    <definedName name="solver_pre" localSheetId="10" hidden="1">0.000001</definedName>
    <definedName name="solver_pre" localSheetId="15" hidden="1">0.000001</definedName>
    <definedName name="solver_pre" localSheetId="18" hidden="1">0.000001</definedName>
    <definedName name="solver_pre" localSheetId="16" hidden="1">0.000001</definedName>
    <definedName name="solver_pre" localSheetId="13" hidden="1">0.000001</definedName>
    <definedName name="solver_scl" localSheetId="19" hidden="1">2</definedName>
    <definedName name="solver_scl" localSheetId="10" hidden="1">2</definedName>
    <definedName name="solver_scl" localSheetId="15" hidden="1">2</definedName>
    <definedName name="solver_scl" localSheetId="18" hidden="1">2</definedName>
    <definedName name="solver_scl" localSheetId="16" hidden="1">2</definedName>
    <definedName name="solver_scl" localSheetId="13" hidden="1">2</definedName>
    <definedName name="solver_sho" localSheetId="19" hidden="1">2</definedName>
    <definedName name="solver_sho" localSheetId="10" hidden="1">2</definedName>
    <definedName name="solver_sho" localSheetId="15" hidden="1">2</definedName>
    <definedName name="solver_sho" localSheetId="18" hidden="1">2</definedName>
    <definedName name="solver_sho" localSheetId="16" hidden="1">2</definedName>
    <definedName name="solver_sho" localSheetId="13" hidden="1">2</definedName>
    <definedName name="solver_tim" localSheetId="19" hidden="1">100</definedName>
    <definedName name="solver_tim" localSheetId="10" hidden="1">100</definedName>
    <definedName name="solver_tim" localSheetId="15" hidden="1">100</definedName>
    <definedName name="solver_tim" localSheetId="18" hidden="1">100</definedName>
    <definedName name="solver_tim" localSheetId="16" hidden="1">100</definedName>
    <definedName name="solver_tim" localSheetId="13" hidden="1">100</definedName>
    <definedName name="solver_tol" localSheetId="19" hidden="1">0.05</definedName>
    <definedName name="solver_tol" localSheetId="10" hidden="1">0.05</definedName>
    <definedName name="solver_tol" localSheetId="15" hidden="1">0.05</definedName>
    <definedName name="solver_tol" localSheetId="18" hidden="1">0.05</definedName>
    <definedName name="solver_tol" localSheetId="16" hidden="1">0.05</definedName>
    <definedName name="solver_tol" localSheetId="13" hidden="1">0.05</definedName>
    <definedName name="solver_typ" localSheetId="19" hidden="1">3</definedName>
    <definedName name="solver_typ" localSheetId="10" hidden="1">3</definedName>
    <definedName name="solver_typ" localSheetId="15" hidden="1">3</definedName>
    <definedName name="solver_typ" localSheetId="18" hidden="1">3</definedName>
    <definedName name="solver_typ" localSheetId="16" hidden="1">3</definedName>
    <definedName name="solver_typ" localSheetId="13" hidden="1">3</definedName>
    <definedName name="solver_val" localSheetId="19" hidden="1">2</definedName>
    <definedName name="solver_val" localSheetId="10" hidden="1">2</definedName>
    <definedName name="solver_val" localSheetId="15" hidden="1">1.9</definedName>
    <definedName name="solver_val" localSheetId="18" hidden="1">2</definedName>
    <definedName name="solver_val" localSheetId="16" hidden="1">2</definedName>
    <definedName name="solver_val" localSheetId="13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20" l="1"/>
  <c r="K6" i="20"/>
  <c r="J6" i="20"/>
  <c r="K5" i="20"/>
  <c r="J5" i="20"/>
  <c r="I5" i="20"/>
  <c r="K2" i="20"/>
  <c r="C12" i="20"/>
  <c r="D12" i="20"/>
  <c r="B12" i="20"/>
  <c r="C9" i="20"/>
  <c r="D9" i="20"/>
  <c r="C6" i="20"/>
  <c r="C7" i="20" s="1"/>
  <c r="D6" i="20"/>
  <c r="D7" i="20" s="1"/>
  <c r="B4" i="20"/>
  <c r="B6" i="20" s="1"/>
  <c r="H9" i="19"/>
  <c r="G9" i="19"/>
  <c r="G8" i="19"/>
  <c r="H7" i="19"/>
  <c r="G6" i="19"/>
  <c r="H6" i="19"/>
  <c r="F6" i="19"/>
  <c r="G2" i="19"/>
  <c r="G1" i="19"/>
  <c r="B4" i="19"/>
  <c r="B6" i="19" s="1"/>
  <c r="B7" i="20" l="1"/>
  <c r="B7" i="19"/>
  <c r="B9" i="19" s="1"/>
  <c r="B3" i="18"/>
  <c r="B4" i="18"/>
  <c r="B5" i="18"/>
  <c r="B6" i="18"/>
  <c r="B7" i="18"/>
  <c r="B8" i="18"/>
  <c r="B9" i="18"/>
  <c r="B10" i="18"/>
  <c r="B11" i="18"/>
  <c r="B12" i="18"/>
  <c r="B2" i="18"/>
  <c r="B9" i="20" l="1"/>
  <c r="B10" i="19"/>
  <c r="B6" i="17"/>
  <c r="B7" i="16" l="1"/>
  <c r="B10" i="15" l="1"/>
  <c r="B9" i="15"/>
  <c r="B7" i="15"/>
  <c r="B6" i="15"/>
  <c r="B4" i="15"/>
  <c r="B23" i="14"/>
  <c r="B24" i="14" s="1"/>
  <c r="B11" i="14"/>
  <c r="B12" i="14" s="1"/>
  <c r="G3" i="14"/>
  <c r="H3" i="14"/>
  <c r="F3" i="14"/>
  <c r="B15" i="13"/>
  <c r="B16" i="13"/>
  <c r="B19" i="13"/>
  <c r="B5" i="13"/>
  <c r="B7" i="13"/>
  <c r="B8" i="13" s="1"/>
  <c r="B11" i="13" s="1"/>
  <c r="N2" i="9"/>
  <c r="N24" i="9" s="1"/>
  <c r="N11" i="9"/>
  <c r="N12" i="9"/>
  <c r="N9" i="9"/>
  <c r="N13" i="9"/>
  <c r="N14" i="9"/>
  <c r="N15" i="9" s="1"/>
  <c r="N18" i="9" s="1"/>
  <c r="N20" i="9" s="1"/>
  <c r="C23" i="10"/>
  <c r="C25" i="10" s="1"/>
  <c r="D23" i="10"/>
  <c r="D25" i="10"/>
  <c r="E23" i="10"/>
  <c r="E25" i="10" s="1"/>
  <c r="F23" i="10"/>
  <c r="F25" i="10"/>
  <c r="G23" i="10"/>
  <c r="G25" i="10" s="1"/>
  <c r="H23" i="10"/>
  <c r="H25" i="10"/>
  <c r="I23" i="10"/>
  <c r="I25" i="10" s="1"/>
  <c r="J23" i="10"/>
  <c r="J25" i="10"/>
  <c r="K23" i="10"/>
  <c r="K25" i="10" s="1"/>
  <c r="L23" i="10"/>
  <c r="L25" i="10"/>
  <c r="B23" i="10"/>
  <c r="B25" i="10" s="1"/>
  <c r="L11" i="10"/>
  <c r="L12" i="10"/>
  <c r="L3" i="10"/>
  <c r="L9" i="10" s="1"/>
  <c r="L13" i="10"/>
  <c r="K11" i="10"/>
  <c r="K12" i="10"/>
  <c r="K3" i="10"/>
  <c r="K9" i="10"/>
  <c r="K13" i="10"/>
  <c r="K14" i="10" s="1"/>
  <c r="J11" i="10"/>
  <c r="J12" i="10"/>
  <c r="J3" i="10"/>
  <c r="J9" i="10" s="1"/>
  <c r="J13" i="10"/>
  <c r="I11" i="10"/>
  <c r="I12" i="10"/>
  <c r="I3" i="10"/>
  <c r="I9" i="10"/>
  <c r="I13" i="10"/>
  <c r="H11" i="10"/>
  <c r="H12" i="10"/>
  <c r="H3" i="10"/>
  <c r="H9" i="10" s="1"/>
  <c r="H13" i="10"/>
  <c r="G11" i="10"/>
  <c r="G12" i="10"/>
  <c r="G3" i="10"/>
  <c r="G9" i="10"/>
  <c r="G13" i="10"/>
  <c r="G14" i="10" s="1"/>
  <c r="F11" i="10"/>
  <c r="F12" i="10"/>
  <c r="F3" i="10"/>
  <c r="F9" i="10" s="1"/>
  <c r="F13" i="10"/>
  <c r="E11" i="10"/>
  <c r="E14" i="10" s="1"/>
  <c r="E12" i="10"/>
  <c r="E3" i="10"/>
  <c r="E9" i="10"/>
  <c r="E13" i="10"/>
  <c r="D11" i="10"/>
  <c r="D12" i="10"/>
  <c r="D3" i="10"/>
  <c r="D9" i="10" s="1"/>
  <c r="D13" i="10"/>
  <c r="C11" i="10"/>
  <c r="C12" i="10"/>
  <c r="C3" i="10"/>
  <c r="C9" i="10"/>
  <c r="C13" i="10"/>
  <c r="C14" i="10" s="1"/>
  <c r="B11" i="10"/>
  <c r="B12" i="10"/>
  <c r="B3" i="10"/>
  <c r="B9" i="10" s="1"/>
  <c r="B13" i="10"/>
  <c r="C2" i="9"/>
  <c r="C24" i="9" s="1"/>
  <c r="D2" i="9"/>
  <c r="D24" i="9"/>
  <c r="E2" i="9"/>
  <c r="E24" i="9"/>
  <c r="F2" i="9"/>
  <c r="F24" i="9"/>
  <c r="G2" i="9"/>
  <c r="G24" i="9" s="1"/>
  <c r="H2" i="9"/>
  <c r="H24" i="9"/>
  <c r="I2" i="9"/>
  <c r="I24" i="9"/>
  <c r="J2" i="9"/>
  <c r="J24" i="9"/>
  <c r="K2" i="9"/>
  <c r="K24" i="9" s="1"/>
  <c r="L2" i="9"/>
  <c r="L24" i="9"/>
  <c r="B2" i="9"/>
  <c r="B24" i="9"/>
  <c r="L23" i="9"/>
  <c r="J23" i="9"/>
  <c r="I23" i="9"/>
  <c r="H23" i="9"/>
  <c r="F23" i="9"/>
  <c r="E23" i="9"/>
  <c r="D23" i="9"/>
  <c r="L11" i="9"/>
  <c r="L14" i="9" s="1"/>
  <c r="L12" i="9"/>
  <c r="L9" i="9"/>
  <c r="L13" i="9"/>
  <c r="K11" i="9"/>
  <c r="K14" i="9" s="1"/>
  <c r="K12" i="9"/>
  <c r="K9" i="9"/>
  <c r="K13" i="9"/>
  <c r="J11" i="9"/>
  <c r="J14" i="9" s="1"/>
  <c r="J12" i="9"/>
  <c r="J9" i="9"/>
  <c r="J13" i="9"/>
  <c r="I11" i="9"/>
  <c r="I14" i="9" s="1"/>
  <c r="I12" i="9"/>
  <c r="I9" i="9"/>
  <c r="I13" i="9"/>
  <c r="H11" i="9"/>
  <c r="H14" i="9" s="1"/>
  <c r="H12" i="9"/>
  <c r="H9" i="9"/>
  <c r="H13" i="9"/>
  <c r="G11" i="9"/>
  <c r="G14" i="9" s="1"/>
  <c r="G12" i="9"/>
  <c r="G9" i="9"/>
  <c r="G13" i="9"/>
  <c r="F11" i="9"/>
  <c r="F14" i="9" s="1"/>
  <c r="F12" i="9"/>
  <c r="F9" i="9"/>
  <c r="F13" i="9"/>
  <c r="E11" i="9"/>
  <c r="E14" i="9" s="1"/>
  <c r="E12" i="9"/>
  <c r="E9" i="9"/>
  <c r="E13" i="9"/>
  <c r="D11" i="9"/>
  <c r="D14" i="9" s="1"/>
  <c r="D12" i="9"/>
  <c r="D9" i="9"/>
  <c r="D13" i="9"/>
  <c r="C11" i="9"/>
  <c r="C12" i="9"/>
  <c r="C9" i="9"/>
  <c r="C13" i="9"/>
  <c r="C14" i="9" s="1"/>
  <c r="B11" i="9"/>
  <c r="B12" i="9"/>
  <c r="B9" i="9"/>
  <c r="B14" i="9" s="1"/>
  <c r="B13" i="9"/>
  <c r="L23" i="6"/>
  <c r="L26" i="6" s="1"/>
  <c r="K23" i="6"/>
  <c r="K26" i="6"/>
  <c r="J23" i="6"/>
  <c r="J26" i="6"/>
  <c r="I23" i="6"/>
  <c r="I26" i="6"/>
  <c r="H23" i="6"/>
  <c r="H26" i="6" s="1"/>
  <c r="G23" i="6"/>
  <c r="G26" i="6"/>
  <c r="F23" i="6"/>
  <c r="F26" i="6"/>
  <c r="E23" i="6"/>
  <c r="E26" i="6"/>
  <c r="D23" i="6"/>
  <c r="D26" i="6" s="1"/>
  <c r="C23" i="6"/>
  <c r="C26" i="6"/>
  <c r="B23" i="6"/>
  <c r="B25" i="6" s="1"/>
  <c r="B26" i="6"/>
  <c r="L11" i="6"/>
  <c r="L12" i="6"/>
  <c r="L3" i="6"/>
  <c r="L9" i="6" s="1"/>
  <c r="L13" i="6"/>
  <c r="K11" i="6"/>
  <c r="K12" i="6"/>
  <c r="K3" i="6"/>
  <c r="K9" i="6" s="1"/>
  <c r="K13" i="6"/>
  <c r="J11" i="6"/>
  <c r="J12" i="6"/>
  <c r="J3" i="6"/>
  <c r="J9" i="6" s="1"/>
  <c r="J13" i="6"/>
  <c r="I11" i="6"/>
  <c r="I12" i="6"/>
  <c r="I3" i="6"/>
  <c r="I9" i="6" s="1"/>
  <c r="I13" i="6"/>
  <c r="H11" i="6"/>
  <c r="H12" i="6"/>
  <c r="H3" i="6"/>
  <c r="H9" i="6"/>
  <c r="H14" i="6" s="1"/>
  <c r="H15" i="6" s="1"/>
  <c r="H18" i="6" s="1"/>
  <c r="H20" i="6" s="1"/>
  <c r="H13" i="6"/>
  <c r="G11" i="6"/>
  <c r="G12" i="6"/>
  <c r="G3" i="6"/>
  <c r="G9" i="6"/>
  <c r="G14" i="6" s="1"/>
  <c r="G13" i="6"/>
  <c r="F11" i="6"/>
  <c r="F12" i="6"/>
  <c r="F3" i="6"/>
  <c r="F9" i="6" s="1"/>
  <c r="F13" i="6"/>
  <c r="E11" i="6"/>
  <c r="E12" i="6"/>
  <c r="E3" i="6"/>
  <c r="E9" i="6" s="1"/>
  <c r="E13" i="6"/>
  <c r="D11" i="6"/>
  <c r="D12" i="6"/>
  <c r="D3" i="6"/>
  <c r="D9" i="6"/>
  <c r="D13" i="6"/>
  <c r="D14" i="6" s="1"/>
  <c r="C11" i="6"/>
  <c r="C12" i="6"/>
  <c r="C3" i="6"/>
  <c r="C9" i="6" s="1"/>
  <c r="C13" i="6"/>
  <c r="B11" i="6"/>
  <c r="B12" i="6"/>
  <c r="B3" i="6"/>
  <c r="B9" i="6" s="1"/>
  <c r="B13" i="6"/>
  <c r="D3" i="5"/>
  <c r="D9" i="5"/>
  <c r="E3" i="5"/>
  <c r="F3" i="5"/>
  <c r="F9" i="5"/>
  <c r="G3" i="5"/>
  <c r="G9" i="5" s="1"/>
  <c r="H3" i="5"/>
  <c r="H9" i="5"/>
  <c r="I3" i="5"/>
  <c r="J3" i="5"/>
  <c r="J9" i="5" s="1"/>
  <c r="K3" i="5"/>
  <c r="L3" i="5"/>
  <c r="L9" i="5" s="1"/>
  <c r="E9" i="5"/>
  <c r="I9" i="5"/>
  <c r="K9" i="5"/>
  <c r="K14" i="5" s="1"/>
  <c r="K15" i="5" s="1"/>
  <c r="K18" i="5" s="1"/>
  <c r="K20" i="5" s="1"/>
  <c r="D11" i="5"/>
  <c r="E11" i="5"/>
  <c r="F11" i="5"/>
  <c r="G11" i="5"/>
  <c r="H11" i="5"/>
  <c r="I11" i="5"/>
  <c r="I14" i="5" s="1"/>
  <c r="J11" i="5"/>
  <c r="K11" i="5"/>
  <c r="L11" i="5"/>
  <c r="D12" i="5"/>
  <c r="E12" i="5"/>
  <c r="E14" i="5" s="1"/>
  <c r="F12" i="5"/>
  <c r="G12" i="5"/>
  <c r="H12" i="5"/>
  <c r="I12" i="5"/>
  <c r="J12" i="5"/>
  <c r="K12" i="5"/>
  <c r="L12" i="5"/>
  <c r="D13" i="5"/>
  <c r="D14" i="5" s="1"/>
  <c r="E13" i="5"/>
  <c r="F13" i="5"/>
  <c r="G13" i="5"/>
  <c r="H13" i="5"/>
  <c r="I13" i="5"/>
  <c r="J13" i="5"/>
  <c r="K13" i="5"/>
  <c r="L13" i="5"/>
  <c r="D23" i="5"/>
  <c r="E23" i="5"/>
  <c r="F23" i="5"/>
  <c r="G23" i="5"/>
  <c r="H23" i="5"/>
  <c r="I23" i="5"/>
  <c r="J23" i="5"/>
  <c r="K23" i="5"/>
  <c r="L23" i="5"/>
  <c r="C23" i="5"/>
  <c r="C11" i="5"/>
  <c r="C12" i="5"/>
  <c r="C3" i="5"/>
  <c r="C9" i="5" s="1"/>
  <c r="C13" i="5"/>
  <c r="B23" i="5"/>
  <c r="B11" i="5"/>
  <c r="B12" i="5"/>
  <c r="B3" i="5"/>
  <c r="B9" i="5"/>
  <c r="B14" i="5" s="1"/>
  <c r="B15" i="5" s="1"/>
  <c r="B18" i="5" s="1"/>
  <c r="B20" i="5" s="1"/>
  <c r="B13" i="5"/>
  <c r="J23" i="4"/>
  <c r="F23" i="4"/>
  <c r="B23" i="4"/>
  <c r="J11" i="4"/>
  <c r="J12" i="4"/>
  <c r="J3" i="4"/>
  <c r="J9" i="4" s="1"/>
  <c r="J13" i="4"/>
  <c r="F11" i="4"/>
  <c r="F12" i="4"/>
  <c r="F3" i="4"/>
  <c r="F9" i="4" s="1"/>
  <c r="F13" i="4"/>
  <c r="B11" i="4"/>
  <c r="B12" i="4"/>
  <c r="B3" i="4"/>
  <c r="B9" i="4"/>
  <c r="B13" i="4"/>
  <c r="J22" i="3"/>
  <c r="J11" i="3"/>
  <c r="J14" i="3" s="1"/>
  <c r="J12" i="3"/>
  <c r="J3" i="3"/>
  <c r="J9" i="3"/>
  <c r="J13" i="3"/>
  <c r="F22" i="3"/>
  <c r="F11" i="3"/>
  <c r="F12" i="3"/>
  <c r="F3" i="3"/>
  <c r="F9" i="3" s="1"/>
  <c r="F13" i="3"/>
  <c r="B22" i="3"/>
  <c r="B13" i="3"/>
  <c r="B3" i="3"/>
  <c r="B9" i="3" s="1"/>
  <c r="B11" i="3"/>
  <c r="B12" i="3"/>
  <c r="B12" i="2"/>
  <c r="D12" i="2" s="1"/>
  <c r="B6" i="2"/>
  <c r="B13" i="2"/>
  <c r="D13" i="2" s="1"/>
  <c r="B3" i="2"/>
  <c r="D14" i="2"/>
  <c r="B3" i="1"/>
  <c r="B6" i="1" s="1"/>
  <c r="B14" i="4"/>
  <c r="B15" i="4" s="1"/>
  <c r="H14" i="5"/>
  <c r="H15" i="5" s="1"/>
  <c r="B8" i="2"/>
  <c r="J25" i="6"/>
  <c r="H25" i="6"/>
  <c r="F25" i="6"/>
  <c r="K25" i="6"/>
  <c r="I25" i="6"/>
  <c r="G25" i="6"/>
  <c r="E25" i="6"/>
  <c r="C25" i="6"/>
  <c r="B21" i="13"/>
  <c r="B22" i="13" s="1"/>
  <c r="B25" i="13" s="1"/>
  <c r="B23" i="9"/>
  <c r="H17" i="5" l="1"/>
  <c r="H18" i="5"/>
  <c r="H20" i="5" s="1"/>
  <c r="G14" i="5"/>
  <c r="G15" i="5" s="1"/>
  <c r="G18" i="5" s="1"/>
  <c r="G20" i="5" s="1"/>
  <c r="F14" i="6"/>
  <c r="F15" i="6" s="1"/>
  <c r="F18" i="6" s="1"/>
  <c r="F20" i="6" s="1"/>
  <c r="D14" i="10"/>
  <c r="D15" i="10" s="1"/>
  <c r="D18" i="10" s="1"/>
  <c r="D20" i="10" s="1"/>
  <c r="B15" i="9"/>
  <c r="B18" i="9" s="1"/>
  <c r="B20" i="9" s="1"/>
  <c r="B17" i="9"/>
  <c r="F14" i="10"/>
  <c r="F15" i="10" s="1"/>
  <c r="F18" i="10" s="1"/>
  <c r="F20" i="10" s="1"/>
  <c r="D16" i="2"/>
  <c r="C14" i="5"/>
  <c r="C15" i="5" s="1"/>
  <c r="C18" i="5" s="1"/>
  <c r="C20" i="5" s="1"/>
  <c r="C15" i="10"/>
  <c r="C18" i="10" s="1"/>
  <c r="C20" i="10" s="1"/>
  <c r="C14" i="6"/>
  <c r="C15" i="6" s="1"/>
  <c r="C18" i="6" s="1"/>
  <c r="C20" i="6" s="1"/>
  <c r="D15" i="9"/>
  <c r="D18" i="9" s="1"/>
  <c r="D20" i="9" s="1"/>
  <c r="D17" i="9"/>
  <c r="F15" i="9"/>
  <c r="F17" i="9"/>
  <c r="H17" i="9"/>
  <c r="H15" i="9"/>
  <c r="J15" i="9"/>
  <c r="J18" i="9" s="1"/>
  <c r="J20" i="9" s="1"/>
  <c r="L15" i="9"/>
  <c r="L17" i="9"/>
  <c r="J14" i="10"/>
  <c r="J15" i="10" s="1"/>
  <c r="J18" i="10" s="1"/>
  <c r="J20" i="10" s="1"/>
  <c r="J17" i="10"/>
  <c r="B14" i="6"/>
  <c r="B15" i="6" s="1"/>
  <c r="B18" i="6" s="1"/>
  <c r="B20" i="6" s="1"/>
  <c r="E15" i="9"/>
  <c r="E17" i="9" s="1"/>
  <c r="G17" i="9"/>
  <c r="G15" i="9"/>
  <c r="I15" i="9"/>
  <c r="I17" i="9" s="1"/>
  <c r="K15" i="9"/>
  <c r="K17" i="9" s="1"/>
  <c r="B17" i="10"/>
  <c r="B14" i="10"/>
  <c r="B15" i="10" s="1"/>
  <c r="B18" i="10" s="1"/>
  <c r="B20" i="10" s="1"/>
  <c r="E15" i="10"/>
  <c r="E17" i="10" s="1"/>
  <c r="B18" i="4"/>
  <c r="B20" i="4" s="1"/>
  <c r="B17" i="4"/>
  <c r="I17" i="5"/>
  <c r="I15" i="5"/>
  <c r="I18" i="5" s="1"/>
  <c r="I20" i="5" s="1"/>
  <c r="F17" i="5"/>
  <c r="B14" i="3"/>
  <c r="B15" i="3" s="1"/>
  <c r="B18" i="3" s="1"/>
  <c r="B20" i="3" s="1"/>
  <c r="J14" i="4"/>
  <c r="J15" i="4" s="1"/>
  <c r="J18" i="4" s="1"/>
  <c r="J20" i="4" s="1"/>
  <c r="J17" i="4"/>
  <c r="L14" i="5"/>
  <c r="L15" i="5" s="1"/>
  <c r="L18" i="5" s="1"/>
  <c r="L20" i="5" s="1"/>
  <c r="J14" i="6"/>
  <c r="J15" i="6" s="1"/>
  <c r="J18" i="6" s="1"/>
  <c r="J20" i="6" s="1"/>
  <c r="J17" i="6"/>
  <c r="L14" i="6"/>
  <c r="L15" i="6" s="1"/>
  <c r="L18" i="6" s="1"/>
  <c r="L20" i="6" s="1"/>
  <c r="H14" i="10"/>
  <c r="H15" i="10" s="1"/>
  <c r="H18" i="10" s="1"/>
  <c r="H20" i="10" s="1"/>
  <c r="H17" i="10"/>
  <c r="D17" i="5"/>
  <c r="D15" i="5"/>
  <c r="D18" i="5" s="1"/>
  <c r="D20" i="5" s="1"/>
  <c r="E15" i="5"/>
  <c r="E17" i="5"/>
  <c r="J17" i="5"/>
  <c r="J14" i="5"/>
  <c r="J15" i="5" s="1"/>
  <c r="J18" i="5" s="1"/>
  <c r="J20" i="5" s="1"/>
  <c r="E14" i="6"/>
  <c r="E15" i="6" s="1"/>
  <c r="E18" i="6" s="1"/>
  <c r="E20" i="6" s="1"/>
  <c r="G15" i="6"/>
  <c r="G18" i="6" s="1"/>
  <c r="G20" i="6" s="1"/>
  <c r="C15" i="9"/>
  <c r="C18" i="9" s="1"/>
  <c r="C20" i="9" s="1"/>
  <c r="G15" i="10"/>
  <c r="G18" i="10" s="1"/>
  <c r="G20" i="10" s="1"/>
  <c r="L14" i="10"/>
  <c r="L15" i="10" s="1"/>
  <c r="L18" i="10" s="1"/>
  <c r="L20" i="10" s="1"/>
  <c r="L17" i="10"/>
  <c r="F14" i="3"/>
  <c r="F15" i="3" s="1"/>
  <c r="F18" i="3" s="1"/>
  <c r="F20" i="3" s="1"/>
  <c r="F17" i="3"/>
  <c r="J15" i="3"/>
  <c r="J17" i="3" s="1"/>
  <c r="F14" i="4"/>
  <c r="F15" i="4" s="1"/>
  <c r="F18" i="4" s="1"/>
  <c r="F20" i="4" s="1"/>
  <c r="D15" i="6"/>
  <c r="D18" i="6" s="1"/>
  <c r="D20" i="6" s="1"/>
  <c r="D17" i="6"/>
  <c r="I14" i="6"/>
  <c r="I15" i="6" s="1"/>
  <c r="I18" i="6" s="1"/>
  <c r="I20" i="6" s="1"/>
  <c r="K17" i="6"/>
  <c r="K14" i="6"/>
  <c r="K15" i="6" s="1"/>
  <c r="K18" i="6" s="1"/>
  <c r="K20" i="6" s="1"/>
  <c r="K17" i="10"/>
  <c r="K15" i="10"/>
  <c r="K18" i="10" s="1"/>
  <c r="K20" i="10" s="1"/>
  <c r="H17" i="6"/>
  <c r="B24" i="13"/>
  <c r="C23" i="9"/>
  <c r="K23" i="9"/>
  <c r="B14" i="14"/>
  <c r="B15" i="14" s="1"/>
  <c r="B10" i="13"/>
  <c r="E18" i="10"/>
  <c r="E20" i="10" s="1"/>
  <c r="L25" i="6"/>
  <c r="F18" i="9"/>
  <c r="F20" i="9" s="1"/>
  <c r="G18" i="9"/>
  <c r="G20" i="9" s="1"/>
  <c r="H18" i="9"/>
  <c r="H20" i="9" s="1"/>
  <c r="I18" i="9"/>
  <c r="I20" i="9" s="1"/>
  <c r="K18" i="9"/>
  <c r="K20" i="9" s="1"/>
  <c r="L18" i="9"/>
  <c r="L20" i="9" s="1"/>
  <c r="F14" i="5"/>
  <c r="F15" i="5" s="1"/>
  <c r="F18" i="5" s="1"/>
  <c r="F20" i="5" s="1"/>
  <c r="J18" i="3"/>
  <c r="J20" i="3" s="1"/>
  <c r="I14" i="10"/>
  <c r="K17" i="5"/>
  <c r="G23" i="9"/>
  <c r="N23" i="9"/>
  <c r="B26" i="14"/>
  <c r="B27" i="14" s="1"/>
  <c r="B17" i="5"/>
  <c r="N17" i="9"/>
  <c r="D25" i="6"/>
  <c r="E18" i="5"/>
  <c r="E20" i="5" s="1"/>
  <c r="I17" i="6" l="1"/>
  <c r="B17" i="6"/>
  <c r="J17" i="9"/>
  <c r="C17" i="6"/>
  <c r="F17" i="10"/>
  <c r="G15" i="14"/>
  <c r="F15" i="14"/>
  <c r="H15" i="14"/>
  <c r="I15" i="10"/>
  <c r="I18" i="10" s="1"/>
  <c r="I20" i="10" s="1"/>
  <c r="I17" i="10"/>
  <c r="G17" i="6"/>
  <c r="L17" i="5"/>
  <c r="C17" i="10"/>
  <c r="G17" i="5"/>
  <c r="E18" i="9"/>
  <c r="E20" i="9" s="1"/>
  <c r="E17" i="6"/>
  <c r="F17" i="4"/>
  <c r="G17" i="10"/>
  <c r="C17" i="5"/>
  <c r="D17" i="10"/>
  <c r="H27" i="14"/>
  <c r="G27" i="14"/>
  <c r="C17" i="9"/>
  <c r="L17" i="6"/>
  <c r="B17" i="3"/>
  <c r="F17" i="6"/>
</calcChain>
</file>

<file path=xl/sharedStrings.xml><?xml version="1.0" encoding="utf-8"?>
<sst xmlns="http://schemas.openxmlformats.org/spreadsheetml/2006/main" count="341" uniqueCount="73">
  <si>
    <t>S</t>
  </si>
  <si>
    <t>K</t>
  </si>
  <si>
    <t>T</t>
  </si>
  <si>
    <t>r</t>
  </si>
  <si>
    <t>call</t>
  </si>
  <si>
    <t>put</t>
  </si>
  <si>
    <t>dividend</t>
  </si>
  <si>
    <t>paying date</t>
  </si>
  <si>
    <t>low bound for call</t>
  </si>
  <si>
    <t>strategy</t>
  </si>
  <si>
    <t>Long call, short stock</t>
  </si>
  <si>
    <t>cash flow</t>
  </si>
  <si>
    <t>time 0</t>
  </si>
  <si>
    <t>1 month</t>
  </si>
  <si>
    <t>6 month</t>
  </si>
  <si>
    <t>if ST &gt; 60</t>
  </si>
  <si>
    <t>otherwise</t>
  </si>
  <si>
    <t>forward value at 6 month</t>
  </si>
  <si>
    <t>total</t>
  </si>
  <si>
    <t>equity financing</t>
  </si>
  <si>
    <t>million</t>
  </si>
  <si>
    <t xml:space="preserve">debt financing </t>
  </si>
  <si>
    <t>total asset</t>
  </si>
  <si>
    <t>debt maturity</t>
  </si>
  <si>
    <t>years</t>
  </si>
  <si>
    <t>risk free rate</t>
  </si>
  <si>
    <t>volatility</t>
  </si>
  <si>
    <t>R</t>
  </si>
  <si>
    <t>sigma</t>
  </si>
  <si>
    <t>d1</t>
  </si>
  <si>
    <t>d2</t>
  </si>
  <si>
    <t>c</t>
  </si>
  <si>
    <t>p</t>
  </si>
  <si>
    <t>value of debt</t>
  </si>
  <si>
    <t>debt rate</t>
  </si>
  <si>
    <t>debt rate, higher sigma</t>
  </si>
  <si>
    <t>ratio</t>
  </si>
  <si>
    <t>debt rate, hihger r</t>
  </si>
  <si>
    <t>difference</t>
  </si>
  <si>
    <t>debt equity ratio</t>
  </si>
  <si>
    <t>Without dividend</t>
  </si>
  <si>
    <t>With dividend</t>
  </si>
  <si>
    <t>PV of dividend</t>
  </si>
  <si>
    <t>First investor</t>
  </si>
  <si>
    <t>Initial wealth</t>
  </si>
  <si>
    <t>Initail index level</t>
  </si>
  <si>
    <t xml:space="preserve">Final index level </t>
  </si>
  <si>
    <t>final walth</t>
  </si>
  <si>
    <t>Second investor</t>
  </si>
  <si>
    <t>number of options bought</t>
  </si>
  <si>
    <t>negative of share price</t>
  </si>
  <si>
    <t>C</t>
  </si>
  <si>
    <t>C+K*e^(-rT)</t>
  </si>
  <si>
    <t>This is less than S</t>
  </si>
  <si>
    <t>Arbitrage</t>
  </si>
  <si>
    <t>Long C, short S.</t>
  </si>
  <si>
    <t>variable</t>
  </si>
  <si>
    <t>cumulative distribution</t>
  </si>
  <si>
    <t>number of call options bought</t>
  </si>
  <si>
    <t>initial wealth</t>
  </si>
  <si>
    <t>number of put options bought</t>
  </si>
  <si>
    <t>Final stock price</t>
  </si>
  <si>
    <t xml:space="preserve">1st investor </t>
  </si>
  <si>
    <t>2nd investor</t>
  </si>
  <si>
    <t>3rd investor</t>
  </si>
  <si>
    <t>4th investor</t>
  </si>
  <si>
    <t>total investment</t>
  </si>
  <si>
    <t>final stock price at three month</t>
  </si>
  <si>
    <t>wealth of the 4th investor</t>
  </si>
  <si>
    <t>final stock price at six month</t>
  </si>
  <si>
    <t>wealth of the 1st investor</t>
  </si>
  <si>
    <t>wealth of the 2nd investor</t>
  </si>
  <si>
    <t>wealth of the 3rd investor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</si>
</sst>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3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chartsheet" Target="chartsheets/sheet4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worksheet" Target="worksheets/sheet14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2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Sheet1!$A$2:$A$12</c:f>
              <c:numCache>
                <c:formatCode>General</c:formatCode>
                <c:ptCount val="1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cat>
          <c:val>
            <c:numRef>
              <c:f>Sheet1!$B$2:$B$12</c:f>
              <c:numCache>
                <c:formatCode>General</c:formatCode>
                <c:ptCount val="11"/>
                <c:pt idx="0">
                  <c:v>2.8665157187919333E-7</c:v>
                </c:pt>
                <c:pt idx="1">
                  <c:v>3.1671241833119857E-5</c:v>
                </c:pt>
                <c:pt idx="2">
                  <c:v>1.3498980316300933E-3</c:v>
                </c:pt>
                <c:pt idx="3">
                  <c:v>2.2750131948179191E-2</c:v>
                </c:pt>
                <c:pt idx="4">
                  <c:v>0.15865525393145699</c:v>
                </c:pt>
                <c:pt idx="5">
                  <c:v>0.5</c:v>
                </c:pt>
                <c:pt idx="6">
                  <c:v>0.84134474606854304</c:v>
                </c:pt>
                <c:pt idx="7">
                  <c:v>0.97724986805182079</c:v>
                </c:pt>
                <c:pt idx="8">
                  <c:v>0.9986501019683699</c:v>
                </c:pt>
                <c:pt idx="9">
                  <c:v>0.99996832875816688</c:v>
                </c:pt>
                <c:pt idx="10">
                  <c:v>0.99999971334842808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0-4A23-B609-254152633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2846047"/>
        <c:axId val="1226787695"/>
      </c:lineChart>
      <c:catAx>
        <c:axId val="105284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787695"/>
        <c:crosses val="autoZero"/>
        <c:auto val="1"/>
        <c:lblAlgn val="ctr"/>
        <c:lblOffset val="100"/>
        <c:noMultiLvlLbl val="0"/>
      </c:catAx>
      <c:valAx>
        <c:axId val="1226787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84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5185185185185E-2"/>
          <c:y val="3.1590413943355121E-2"/>
          <c:w val="0.83925925925925926"/>
          <c:h val="0.905228758169934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'slope of yield curve and volati'!$B$23:$L$23</c:f>
              <c:numCache>
                <c:formatCode>General</c:formatCode>
                <c:ptCount val="11"/>
                <c:pt idx="0">
                  <c:v>7.5256638157769645E-2</c:v>
                </c:pt>
                <c:pt idx="1">
                  <c:v>7.6144047169738563E-2</c:v>
                </c:pt>
                <c:pt idx="2">
                  <c:v>7.6886762732325836E-2</c:v>
                </c:pt>
                <c:pt idx="3">
                  <c:v>7.7515005448638735E-2</c:v>
                </c:pt>
                <c:pt idx="4">
                  <c:v>7.8052554396725343E-2</c:v>
                </c:pt>
                <c:pt idx="5">
                  <c:v>7.8516840989956788E-2</c:v>
                </c:pt>
                <c:pt idx="6">
                  <c:v>7.8921626185813623E-2</c:v>
                </c:pt>
                <c:pt idx="7">
                  <c:v>7.9277315156144737E-2</c:v>
                </c:pt>
                <c:pt idx="8">
                  <c:v>7.9592208645033719E-2</c:v>
                </c:pt>
                <c:pt idx="9">
                  <c:v>7.9872705173800948E-2</c:v>
                </c:pt>
                <c:pt idx="10">
                  <c:v>8.0124040668853869E-2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5-4629-A9DD-252C29EEF59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'slope of yield curve and volati'!$B$24:$L$24</c:f>
              <c:numCache>
                <c:formatCode>General</c:formatCode>
                <c:ptCount val="11"/>
                <c:pt idx="0">
                  <c:v>9.7341882179454928E-2</c:v>
                </c:pt>
                <c:pt idx="1">
                  <c:v>9.9136142361137672E-2</c:v>
                </c:pt>
                <c:pt idx="2">
                  <c:v>0.10050361430630764</c:v>
                </c:pt>
                <c:pt idx="3">
                  <c:v>0.10157587062414865</c:v>
                </c:pt>
                <c:pt idx="4">
                  <c:v>0.1024354946646657</c:v>
                </c:pt>
                <c:pt idx="5">
                  <c:v>0.10313713279419871</c:v>
                </c:pt>
                <c:pt idx="6">
                  <c:v>0.10371822765492243</c:v>
                </c:pt>
                <c:pt idx="7">
                  <c:v>0.10420538360502533</c:v>
                </c:pt>
                <c:pt idx="8">
                  <c:v>0.10461793803297</c:v>
                </c:pt>
                <c:pt idx="9">
                  <c:v>0.10497036806990515</c:v>
                </c:pt>
                <c:pt idx="10">
                  <c:v>0.10527369566192145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5-4629-A9DD-252C29EEF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658944"/>
        <c:axId val="1"/>
      </c:lineChart>
      <c:catAx>
        <c:axId val="107165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165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55329949238583"/>
          <c:y val="0.45149253731343281"/>
          <c:w val="9.4543147208121819E-2"/>
          <c:h val="6.43656716417910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"/>
          <c:y val="3.1590413943355121E-2"/>
          <c:w val="0.83111111111111113"/>
          <c:h val="0.905228758169934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'slope of yield curve and volati'!$B$25:$L$25</c:f>
              <c:numCache>
                <c:formatCode>General</c:formatCode>
                <c:ptCount val="11"/>
                <c:pt idx="0">
                  <c:v>1.2934657269088383</c:v>
                </c:pt>
                <c:pt idx="1">
                  <c:v>1.3019552551514062</c:v>
                </c:pt>
                <c:pt idx="2">
                  <c:v>1.3071640778556601</c:v>
                </c:pt>
                <c:pt idx="3">
                  <c:v>1.310402676697902</c:v>
                </c:pt>
                <c:pt idx="4">
                  <c:v>1.3123913170606409</c:v>
                </c:pt>
                <c:pt idx="5">
                  <c:v>1.313567019429515</c:v>
                </c:pt>
                <c:pt idx="6">
                  <c:v>1.3141927335699788</c:v>
                </c:pt>
                <c:pt idx="7">
                  <c:v>1.3144413808638982</c:v>
                </c:pt>
                <c:pt idx="8">
                  <c:v>1.314424361554613</c:v>
                </c:pt>
                <c:pt idx="9">
                  <c:v>1.3142207696796087</c:v>
                </c:pt>
                <c:pt idx="10">
                  <c:v>1.3138840076352247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8-47C9-9AF6-37E2FE353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04832"/>
        <c:axId val="1"/>
      </c:lineChart>
      <c:catAx>
        <c:axId val="12854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404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418781725888331"/>
          <c:y val="0.46828358208955223"/>
          <c:w val="9.4543147208121819E-2"/>
          <c:h val="3.35820895522387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7777777777778"/>
          <c:y val="4.6840958605664486E-2"/>
          <c:w val="0.85259259259259257"/>
          <c:h val="0.7712418300653595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'leverage and debt rate'!$B$24:$L$24</c:f>
              <c:numCache>
                <c:formatCode>General</c:formatCode>
                <c:ptCount val="11"/>
                <c:pt idx="0">
                  <c:v>28.999999999999996</c:v>
                </c:pt>
                <c:pt idx="1">
                  <c:v>13.999999999999998</c:v>
                </c:pt>
                <c:pt idx="2">
                  <c:v>9.0000000000000018</c:v>
                </c:pt>
                <c:pt idx="3">
                  <c:v>6.5</c:v>
                </c:pt>
                <c:pt idx="4">
                  <c:v>5</c:v>
                </c:pt>
                <c:pt idx="5">
                  <c:v>4</c:v>
                </c:pt>
                <c:pt idx="6">
                  <c:v>3.2857142857142856</c:v>
                </c:pt>
                <c:pt idx="7">
                  <c:v>2.75</c:v>
                </c:pt>
                <c:pt idx="8">
                  <c:v>2.3333333333333335</c:v>
                </c:pt>
                <c:pt idx="9">
                  <c:v>2</c:v>
                </c:pt>
                <c:pt idx="10">
                  <c:v>1.7272727272727271</c:v>
                </c:pt>
              </c:numCache>
            </c:numRef>
          </c:cat>
          <c:val>
            <c:numRef>
              <c:f>'leverage and debt rate'!$B$23:$L$23</c:f>
              <c:numCache>
                <c:formatCode>General</c:formatCode>
                <c:ptCount val="11"/>
                <c:pt idx="0">
                  <c:v>0.22611253006268134</c:v>
                </c:pt>
                <c:pt idx="1">
                  <c:v>0.18838709974809023</c:v>
                </c:pt>
                <c:pt idx="2">
                  <c:v>0.16528666446629464</c:v>
                </c:pt>
                <c:pt idx="3">
                  <c:v>0.14862035814320654</c:v>
                </c:pt>
                <c:pt idx="4">
                  <c:v>0.13567095316906536</c:v>
                </c:pt>
                <c:pt idx="5">
                  <c:v>0.12518090077954019</c:v>
                </c:pt>
                <c:pt idx="6">
                  <c:v>0.11645917354929425</c:v>
                </c:pt>
                <c:pt idx="7">
                  <c:v>0.10908290475432388</c:v>
                </c:pt>
                <c:pt idx="8">
                  <c:v>0.10277460280050707</c:v>
                </c:pt>
                <c:pt idx="9">
                  <c:v>9.7341942540609058E-2</c:v>
                </c:pt>
                <c:pt idx="10">
                  <c:v>9.2645471052766312E-2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C-4867-8DA1-06125FF4F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394032"/>
        <c:axId val="1"/>
      </c:lineChart>
      <c:catAx>
        <c:axId val="128539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debt-equity ratio</a:t>
                </a:r>
              </a:p>
            </c:rich>
          </c:tx>
          <c:layout>
            <c:manualLayout>
              <c:xMode val="edge"/>
              <c:yMode val="edge"/>
              <c:x val="0.44518518518518518"/>
              <c:y val="0.91067538126361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lending rate</a:t>
                </a:r>
              </a:p>
            </c:rich>
          </c:tx>
          <c:layout>
            <c:manualLayout>
              <c:xMode val="edge"/>
              <c:yMode val="edge"/>
              <c:x val="1.037037037037037E-2"/>
              <c:y val="0.305010893246187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39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9259259259259"/>
          <c:y val="4.6840958605664486E-2"/>
          <c:w val="0.83777777777777773"/>
          <c:h val="0.7712418300653595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'maturity and lending rate'!$B$4:$L$4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numCache>
            </c:numRef>
          </c:cat>
          <c:val>
            <c:numRef>
              <c:f>'maturity and lending rate'!$B$23:$L$23</c:f>
              <c:numCache>
                <c:formatCode>General</c:formatCode>
                <c:ptCount val="11"/>
                <c:pt idx="0">
                  <c:v>9.7341882179454928E-2</c:v>
                </c:pt>
                <c:pt idx="1">
                  <c:v>9.9136142361137672E-2</c:v>
                </c:pt>
                <c:pt idx="2">
                  <c:v>0.10050361430630764</c:v>
                </c:pt>
                <c:pt idx="3">
                  <c:v>0.10157587062414865</c:v>
                </c:pt>
                <c:pt idx="4">
                  <c:v>0.1024354946646657</c:v>
                </c:pt>
                <c:pt idx="5">
                  <c:v>0.10313713279419871</c:v>
                </c:pt>
                <c:pt idx="6">
                  <c:v>0.10371822765492243</c:v>
                </c:pt>
                <c:pt idx="7">
                  <c:v>0.10420538360502533</c:v>
                </c:pt>
                <c:pt idx="8">
                  <c:v>0.10461793803297</c:v>
                </c:pt>
                <c:pt idx="9">
                  <c:v>0.10497036806990515</c:v>
                </c:pt>
                <c:pt idx="10">
                  <c:v>0.10527369566192145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0-4433-BC58-CE2BA47A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04432"/>
        <c:axId val="1"/>
      </c:lineChart>
      <c:catAx>
        <c:axId val="128540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Years of maturity</a:t>
                </a:r>
              </a:p>
            </c:rich>
          </c:tx>
          <c:layout>
            <c:manualLayout>
              <c:xMode val="edge"/>
              <c:yMode val="edge"/>
              <c:x val="0.44740740740740742"/>
              <c:y val="0.91067538126361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lending rates</a:t>
                </a:r>
              </a:p>
            </c:rich>
          </c:tx>
          <c:layout>
            <c:manualLayout>
              <c:xMode val="edge"/>
              <c:yMode val="edge"/>
              <c:x val="1.037037037037037E-2"/>
              <c:y val="0.29302832244008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540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2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2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92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9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557893</xdr:colOff>
      <xdr:row>0</xdr:row>
      <xdr:rowOff>106135</xdr:rowOff>
    </xdr:from>
    <xdr:to>
      <xdr:col>10</xdr:col>
      <xdr:colOff>557893</xdr:colOff>
      <xdr:row>18</xdr:row>
      <xdr:rowOff>8164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3C2F2D-F726-4F62-AD04-08BC0437B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158" cy="62947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04530-82AA-49A8-8E1D-38EDEA611F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158" cy="62947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988A2-642E-4CB7-9B39-96FE8C8AB0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8416" cy="58333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8852A2-485A-4F81-90F5-DB6C4D36DE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8416" cy="58333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80CA27-4E47-4DBB-AA7D-E83753946A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sqref="A1:B10"/>
    </sheetView>
  </sheetViews>
  <sheetFormatPr defaultRowHeight="12.45" x14ac:dyDescent="0.3"/>
  <sheetData>
    <row r="1" spans="1:2" x14ac:dyDescent="0.3">
      <c r="A1" t="s">
        <v>0</v>
      </c>
      <c r="B1">
        <v>42</v>
      </c>
    </row>
    <row r="2" spans="1:2" x14ac:dyDescent="0.3">
      <c r="A2" t="s">
        <v>1</v>
      </c>
      <c r="B2">
        <v>40</v>
      </c>
    </row>
    <row r="3" spans="1:2" x14ac:dyDescent="0.3">
      <c r="A3" t="s">
        <v>27</v>
      </c>
      <c r="B3" s="1">
        <v>0.06</v>
      </c>
    </row>
    <row r="4" spans="1:2" x14ac:dyDescent="0.3">
      <c r="A4" t="s">
        <v>2</v>
      </c>
      <c r="B4">
        <f>6/12</f>
        <v>0.5</v>
      </c>
    </row>
    <row r="5" spans="1:2" x14ac:dyDescent="0.3">
      <c r="A5" t="s">
        <v>28</v>
      </c>
      <c r="B5" s="2">
        <v>0.25</v>
      </c>
    </row>
    <row r="6" spans="1:2" x14ac:dyDescent="0.3">
      <c r="A6" t="s">
        <v>29</v>
      </c>
      <c r="B6">
        <f>(LN(B1/B2)+(B3+B5^2/2)*B4)/(B5*SQRT(B4))</f>
        <v>0.53409282264837232</v>
      </c>
    </row>
    <row r="7" spans="1:2" x14ac:dyDescent="0.3">
      <c r="A7" t="s">
        <v>30</v>
      </c>
      <c r="B7">
        <f>B6-B5*SQRT(B4)</f>
        <v>0.35731612735173546</v>
      </c>
    </row>
    <row r="9" spans="1:2" x14ac:dyDescent="0.3">
      <c r="A9" t="s">
        <v>31</v>
      </c>
      <c r="B9">
        <f>B1*_xlfn.NORM.S.DIST(B6,TRUE)-B2*EXP(-B3*B4)*_xlfn.NORM.S.DIST(B7,TRUE)</f>
        <v>4.7143684057098838</v>
      </c>
    </row>
    <row r="10" spans="1:2" x14ac:dyDescent="0.3">
      <c r="A10" t="s">
        <v>32</v>
      </c>
      <c r="B10">
        <f>B2*EXP(-B3*B4)*_xlfn.NORM.S.DIST(-B7,TRUE)-B1*_xlfn.NORM.S.DIST(-B6,TRUE)</f>
        <v>1.5321897476502073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D16"/>
  <sheetViews>
    <sheetView workbookViewId="0">
      <selection activeCell="B15" sqref="B15"/>
    </sheetView>
  </sheetViews>
  <sheetFormatPr defaultRowHeight="12.45" x14ac:dyDescent="0.3"/>
  <cols>
    <col min="1" max="1" width="20.23046875" customWidth="1"/>
    <col min="2" max="2" width="21" customWidth="1"/>
    <col min="3" max="3" width="14.15234375" customWidth="1"/>
    <col min="4" max="4" width="21.4609375" customWidth="1"/>
  </cols>
  <sheetData>
    <row r="1" spans="1:4" x14ac:dyDescent="0.3">
      <c r="A1" t="s">
        <v>0</v>
      </c>
      <c r="B1">
        <v>64</v>
      </c>
    </row>
    <row r="2" spans="1:4" x14ac:dyDescent="0.3">
      <c r="A2" t="s">
        <v>6</v>
      </c>
      <c r="B2">
        <v>0.8</v>
      </c>
    </row>
    <row r="3" spans="1:4" x14ac:dyDescent="0.3">
      <c r="A3" t="s">
        <v>7</v>
      </c>
      <c r="B3">
        <f>1/12</f>
        <v>8.3333333333333329E-2</v>
      </c>
    </row>
    <row r="4" spans="1:4" x14ac:dyDescent="0.3">
      <c r="A4" t="s">
        <v>1</v>
      </c>
      <c r="B4">
        <v>60</v>
      </c>
    </row>
    <row r="5" spans="1:4" x14ac:dyDescent="0.3">
      <c r="A5" t="s">
        <v>3</v>
      </c>
      <c r="B5" s="1">
        <v>0.08</v>
      </c>
    </row>
    <row r="6" spans="1:4" x14ac:dyDescent="0.3">
      <c r="A6" t="s">
        <v>2</v>
      </c>
      <c r="B6">
        <f>6/12</f>
        <v>0.5</v>
      </c>
    </row>
    <row r="7" spans="1:4" x14ac:dyDescent="0.3">
      <c r="A7" t="s">
        <v>4</v>
      </c>
      <c r="B7">
        <v>5</v>
      </c>
    </row>
    <row r="8" spans="1:4" x14ac:dyDescent="0.3">
      <c r="A8" t="s">
        <v>8</v>
      </c>
      <c r="B8">
        <f>B1-B2*EXP(-B3*B5)-B4*EXP(-B5*B6)</f>
        <v>5.5579492458565838</v>
      </c>
    </row>
    <row r="10" spans="1:4" x14ac:dyDescent="0.3">
      <c r="A10" t="s">
        <v>9</v>
      </c>
      <c r="B10" t="s">
        <v>10</v>
      </c>
    </row>
    <row r="11" spans="1:4" x14ac:dyDescent="0.3">
      <c r="A11" t="s">
        <v>11</v>
      </c>
      <c r="D11" t="s">
        <v>17</v>
      </c>
    </row>
    <row r="12" spans="1:4" x14ac:dyDescent="0.3">
      <c r="A12" t="s">
        <v>12</v>
      </c>
      <c r="B12">
        <f>-B7+B1</f>
        <v>59</v>
      </c>
      <c r="D12">
        <f>B12*EXP(B5*B6)</f>
        <v>61.407835677350903</v>
      </c>
    </row>
    <row r="13" spans="1:4" x14ac:dyDescent="0.3">
      <c r="A13" t="s">
        <v>13</v>
      </c>
      <c r="B13">
        <f>-B2</f>
        <v>-0.8</v>
      </c>
      <c r="D13">
        <f>B13*EXP(B5*(B6-B3))</f>
        <v>-0.82711609081085935</v>
      </c>
    </row>
    <row r="14" spans="1:4" x14ac:dyDescent="0.3">
      <c r="A14" t="s">
        <v>14</v>
      </c>
      <c r="B14">
        <v>-60</v>
      </c>
      <c r="C14" t="s">
        <v>15</v>
      </c>
      <c r="D14">
        <f>B14</f>
        <v>-60</v>
      </c>
    </row>
    <row r="15" spans="1:4" x14ac:dyDescent="0.3">
      <c r="B15" t="s">
        <v>50</v>
      </c>
      <c r="C15" t="s">
        <v>16</v>
      </c>
    </row>
    <row r="16" spans="1:4" x14ac:dyDescent="0.3">
      <c r="C16" t="s">
        <v>18</v>
      </c>
      <c r="D16">
        <f>SUM(D12:D14)</f>
        <v>0.58071958654004163</v>
      </c>
    </row>
  </sheetData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K23"/>
  <sheetViews>
    <sheetView workbookViewId="0">
      <selection activeCell="B17" sqref="B17"/>
    </sheetView>
  </sheetViews>
  <sheetFormatPr defaultRowHeight="12.45" x14ac:dyDescent="0.3"/>
  <cols>
    <col min="1" max="1" width="15.23046875" customWidth="1"/>
    <col min="5" max="5" width="17" customWidth="1"/>
    <col min="9" max="9" width="15.23046875" customWidth="1"/>
  </cols>
  <sheetData>
    <row r="1" spans="1:11" x14ac:dyDescent="0.3">
      <c r="A1" t="s">
        <v>19</v>
      </c>
      <c r="B1">
        <v>1</v>
      </c>
      <c r="C1" t="s">
        <v>20</v>
      </c>
      <c r="E1" t="s">
        <v>19</v>
      </c>
      <c r="F1">
        <v>1</v>
      </c>
      <c r="G1" t="s">
        <v>20</v>
      </c>
      <c r="I1" t="s">
        <v>19</v>
      </c>
      <c r="J1">
        <v>1</v>
      </c>
      <c r="K1" t="s">
        <v>20</v>
      </c>
    </row>
    <row r="2" spans="1:11" x14ac:dyDescent="0.3">
      <c r="A2" t="s">
        <v>21</v>
      </c>
      <c r="B2">
        <v>2</v>
      </c>
      <c r="C2" t="s">
        <v>20</v>
      </c>
      <c r="E2" t="s">
        <v>21</v>
      </c>
      <c r="F2">
        <v>2</v>
      </c>
      <c r="G2" t="s">
        <v>20</v>
      </c>
      <c r="I2" t="s">
        <v>21</v>
      </c>
      <c r="J2">
        <v>2</v>
      </c>
      <c r="K2" t="s">
        <v>20</v>
      </c>
    </row>
    <row r="3" spans="1:11" x14ac:dyDescent="0.3">
      <c r="A3" t="s">
        <v>22</v>
      </c>
      <c r="B3">
        <f>B1+B2</f>
        <v>3</v>
      </c>
      <c r="C3" t="s">
        <v>20</v>
      </c>
      <c r="E3" t="s">
        <v>22</v>
      </c>
      <c r="F3">
        <f>F1+F2</f>
        <v>3</v>
      </c>
      <c r="G3" t="s">
        <v>20</v>
      </c>
      <c r="I3" t="s">
        <v>22</v>
      </c>
      <c r="J3">
        <f>J1+J2</f>
        <v>3</v>
      </c>
      <c r="K3" t="s">
        <v>20</v>
      </c>
    </row>
    <row r="4" spans="1:11" x14ac:dyDescent="0.3">
      <c r="A4" t="s">
        <v>23</v>
      </c>
      <c r="B4">
        <v>10</v>
      </c>
      <c r="C4" t="s">
        <v>24</v>
      </c>
      <c r="E4" t="s">
        <v>23</v>
      </c>
      <c r="F4">
        <v>10</v>
      </c>
      <c r="G4" t="s">
        <v>24</v>
      </c>
      <c r="I4" t="s">
        <v>23</v>
      </c>
      <c r="J4">
        <v>10</v>
      </c>
      <c r="K4" t="s">
        <v>24</v>
      </c>
    </row>
    <row r="5" spans="1:11" x14ac:dyDescent="0.3">
      <c r="A5" t="s">
        <v>25</v>
      </c>
      <c r="B5" s="1">
        <v>7.0000000000000007E-2</v>
      </c>
      <c r="E5" t="s">
        <v>25</v>
      </c>
      <c r="F5" s="1">
        <v>7.0000000000000007E-2</v>
      </c>
      <c r="I5" t="s">
        <v>25</v>
      </c>
      <c r="J5" s="1">
        <v>7.0000000000000007E-2</v>
      </c>
    </row>
    <row r="6" spans="1:11" x14ac:dyDescent="0.3">
      <c r="A6" t="s">
        <v>26</v>
      </c>
      <c r="B6" s="1">
        <v>0.25</v>
      </c>
      <c r="E6" t="s">
        <v>26</v>
      </c>
      <c r="F6" s="1">
        <v>0.35</v>
      </c>
      <c r="I6" t="s">
        <v>26</v>
      </c>
      <c r="J6" s="1">
        <v>0.45</v>
      </c>
    </row>
    <row r="9" spans="1:11" x14ac:dyDescent="0.3">
      <c r="A9" t="s">
        <v>0</v>
      </c>
      <c r="B9">
        <f>B3</f>
        <v>3</v>
      </c>
      <c r="E9" t="s">
        <v>0</v>
      </c>
      <c r="F9">
        <f>F3</f>
        <v>3</v>
      </c>
      <c r="I9" t="s">
        <v>0</v>
      </c>
      <c r="J9">
        <f>J3</f>
        <v>3</v>
      </c>
    </row>
    <row r="10" spans="1:11" x14ac:dyDescent="0.3">
      <c r="A10" t="s">
        <v>1</v>
      </c>
      <c r="B10">
        <v>5.6098232993807047</v>
      </c>
      <c r="E10" t="s">
        <v>1</v>
      </c>
      <c r="F10">
        <v>8.1939090066590428</v>
      </c>
      <c r="I10" t="s">
        <v>1</v>
      </c>
      <c r="J10">
        <v>13.467849023012519</v>
      </c>
    </row>
    <row r="11" spans="1:11" x14ac:dyDescent="0.3">
      <c r="A11" t="s">
        <v>27</v>
      </c>
      <c r="B11" s="1">
        <f>B5</f>
        <v>7.0000000000000007E-2</v>
      </c>
      <c r="E11" t="s">
        <v>27</v>
      </c>
      <c r="F11" s="1">
        <f>F5</f>
        <v>7.0000000000000007E-2</v>
      </c>
      <c r="I11" t="s">
        <v>27</v>
      </c>
      <c r="J11" s="1">
        <f>J5</f>
        <v>7.0000000000000007E-2</v>
      </c>
    </row>
    <row r="12" spans="1:11" x14ac:dyDescent="0.3">
      <c r="A12" t="s">
        <v>2</v>
      </c>
      <c r="B12">
        <f>B4</f>
        <v>10</v>
      </c>
      <c r="E12" t="s">
        <v>2</v>
      </c>
      <c r="F12">
        <f>F4</f>
        <v>10</v>
      </c>
      <c r="I12" t="s">
        <v>2</v>
      </c>
      <c r="J12">
        <f>J4</f>
        <v>10</v>
      </c>
    </row>
    <row r="13" spans="1:11" x14ac:dyDescent="0.3">
      <c r="A13" t="s">
        <v>28</v>
      </c>
      <c r="B13" s="1">
        <f>B6</f>
        <v>0.25</v>
      </c>
      <c r="E13" t="s">
        <v>28</v>
      </c>
      <c r="F13" s="1">
        <f>F6</f>
        <v>0.35</v>
      </c>
      <c r="I13" t="s">
        <v>28</v>
      </c>
      <c r="J13" s="1">
        <f>J6</f>
        <v>0.45</v>
      </c>
    </row>
    <row r="14" spans="1:11" x14ac:dyDescent="0.3">
      <c r="A14" t="s">
        <v>29</v>
      </c>
      <c r="B14">
        <f>(LN(B9/B10)+(B11+B13^2/2)*B12)/(B13*SQRT(B12))</f>
        <v>0.48900584782370993</v>
      </c>
      <c r="E14" t="s">
        <v>29</v>
      </c>
      <c r="F14">
        <f>(LN(F9/F10)+(F11+F13^2/2)*F12)/(F13*SQRT(F12))</f>
        <v>0.27802854917383474</v>
      </c>
      <c r="I14" t="s">
        <v>29</v>
      </c>
      <c r="J14">
        <f>(LN(J9/J10)+(J11+J13^2/2)*J12)/(J13*SQRT(J12))</f>
        <v>0.14814005750063683</v>
      </c>
    </row>
    <row r="15" spans="1:11" x14ac:dyDescent="0.3">
      <c r="A15" t="s">
        <v>30</v>
      </c>
      <c r="B15">
        <f>B14-B13*SQRT(B12)</f>
        <v>-0.30156356721838495</v>
      </c>
      <c r="E15" t="s">
        <v>30</v>
      </c>
      <c r="F15">
        <f>F14-F13*SQRT(F12)</f>
        <v>-0.82876863188509797</v>
      </c>
      <c r="I15" t="s">
        <v>30</v>
      </c>
      <c r="J15">
        <f>J14-J13*SQRT(J12)</f>
        <v>-1.2748848895751339</v>
      </c>
    </row>
    <row r="17" spans="1:10" x14ac:dyDescent="0.3">
      <c r="A17" t="s">
        <v>31</v>
      </c>
      <c r="B17">
        <f>B9*NORMSDIST(B14)-B10*EXP(-B11*B12)*NORMSDIST(B15)</f>
        <v>0.99999901724656404</v>
      </c>
      <c r="E17" t="s">
        <v>31</v>
      </c>
      <c r="F17">
        <f>F9*NORMSDIST(F14)-F10*EXP(-F11*F12)*NORMSDIST(F15)</f>
        <v>0.99999916562686908</v>
      </c>
      <c r="I17" t="s">
        <v>31</v>
      </c>
      <c r="J17">
        <f>J9*NORMSDIST(J14)-J10*EXP(-J11*J12)*NORMSDIST(J15)</f>
        <v>0.99999976980202365</v>
      </c>
    </row>
    <row r="18" spans="1:10" x14ac:dyDescent="0.3">
      <c r="A18" t="s">
        <v>32</v>
      </c>
      <c r="B18">
        <f>B10*EXP(-B11*B12)*NORMSDIST(-B15)-B9*NORMSDIST(-B14)</f>
        <v>0.78575482458565815</v>
      </c>
      <c r="E18" t="s">
        <v>32</v>
      </c>
      <c r="F18">
        <f>F10*EXP(-F11*F12)*NORMSDIST(-F15)-F9*NORMSDIST(-F14)</f>
        <v>2.068973958937816</v>
      </c>
      <c r="I18" t="s">
        <v>32</v>
      </c>
      <c r="J18">
        <f>J10*EXP(-J11*J12)*NORMSDIST(-J15)-J9*NORMSDIST(-J14)</f>
        <v>4.6879356683115327</v>
      </c>
    </row>
    <row r="20" spans="1:10" x14ac:dyDescent="0.3">
      <c r="A20" t="s">
        <v>33</v>
      </c>
      <c r="B20">
        <f>B10*EXP(-B5*B4)-B18</f>
        <v>2.000000982753436</v>
      </c>
      <c r="E20" t="s">
        <v>33</v>
      </c>
      <c r="F20">
        <f>F10*EXP(-F5*F4)-F18</f>
        <v>2.0000008343731306</v>
      </c>
      <c r="I20" t="s">
        <v>33</v>
      </c>
      <c r="J20">
        <f>J10*EXP(-J5*J4)-J18</f>
        <v>2.0000002301979762</v>
      </c>
    </row>
    <row r="23" spans="1:10" x14ac:dyDescent="0.3">
      <c r="A23" t="s">
        <v>34</v>
      </c>
      <c r="B23">
        <f>LN(B10/B2)/B4</f>
        <v>0.10313720410420105</v>
      </c>
      <c r="E23" t="s">
        <v>34</v>
      </c>
      <c r="F23">
        <f>LN(F10/F2)/F4</f>
        <v>0.14102438936286593</v>
      </c>
      <c r="I23" t="s">
        <v>34</v>
      </c>
      <c r="J23">
        <f>LN(J10/J2)/J4</f>
        <v>0.19071581106235191</v>
      </c>
    </row>
  </sheetData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L26"/>
  <sheetViews>
    <sheetView workbookViewId="0">
      <selection activeCell="A27" sqref="A27"/>
    </sheetView>
  </sheetViews>
  <sheetFormatPr defaultRowHeight="12.45" x14ac:dyDescent="0.3"/>
  <cols>
    <col min="1" max="1" width="20.4609375" customWidth="1"/>
  </cols>
  <sheetData>
    <row r="1" spans="1:12" x14ac:dyDescent="0.3">
      <c r="A1" t="s">
        <v>19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</row>
    <row r="2" spans="1:12" x14ac:dyDescent="0.3">
      <c r="A2" t="s">
        <v>21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</row>
    <row r="3" spans="1:12" x14ac:dyDescent="0.3">
      <c r="A3" t="s">
        <v>22</v>
      </c>
      <c r="B3">
        <f>B1+B2</f>
        <v>3</v>
      </c>
      <c r="C3">
        <f>C1+C2</f>
        <v>3</v>
      </c>
      <c r="D3">
        <f t="shared" ref="D3:L3" si="0">D1+D2</f>
        <v>3</v>
      </c>
      <c r="E3">
        <f t="shared" si="0"/>
        <v>3</v>
      </c>
      <c r="F3">
        <f t="shared" si="0"/>
        <v>3</v>
      </c>
      <c r="G3">
        <f t="shared" si="0"/>
        <v>3</v>
      </c>
      <c r="H3">
        <f t="shared" si="0"/>
        <v>3</v>
      </c>
      <c r="I3">
        <f t="shared" si="0"/>
        <v>3</v>
      </c>
      <c r="J3">
        <f t="shared" si="0"/>
        <v>3</v>
      </c>
      <c r="K3">
        <f t="shared" si="0"/>
        <v>3</v>
      </c>
      <c r="L3">
        <f t="shared" si="0"/>
        <v>3</v>
      </c>
    </row>
    <row r="4" spans="1:12" x14ac:dyDescent="0.3">
      <c r="A4" t="s">
        <v>23</v>
      </c>
      <c r="B4">
        <v>5</v>
      </c>
      <c r="C4">
        <v>6</v>
      </c>
      <c r="D4">
        <v>7</v>
      </c>
      <c r="E4">
        <v>8</v>
      </c>
      <c r="F4">
        <v>9</v>
      </c>
      <c r="G4">
        <v>10</v>
      </c>
      <c r="H4">
        <v>11</v>
      </c>
      <c r="I4">
        <v>12</v>
      </c>
      <c r="J4">
        <v>13</v>
      </c>
      <c r="K4">
        <v>14</v>
      </c>
      <c r="L4">
        <v>15</v>
      </c>
    </row>
    <row r="5" spans="1:12" x14ac:dyDescent="0.3">
      <c r="A5" t="s">
        <v>25</v>
      </c>
      <c r="B5" s="1">
        <v>7.0000000000000007E-2</v>
      </c>
      <c r="C5" s="1">
        <v>7.0000000000000007E-2</v>
      </c>
      <c r="D5" s="1">
        <v>7.0000000000000007E-2</v>
      </c>
      <c r="E5" s="1">
        <v>7.0000000000000007E-2</v>
      </c>
      <c r="F5" s="1">
        <v>7.0000000000000007E-2</v>
      </c>
      <c r="G5" s="1">
        <v>7.0000000000000007E-2</v>
      </c>
      <c r="H5" s="1">
        <v>7.0000000000000007E-2</v>
      </c>
      <c r="I5" s="1">
        <v>7.0000000000000007E-2</v>
      </c>
      <c r="J5" s="1">
        <v>7.0000000000000007E-2</v>
      </c>
      <c r="K5" s="1">
        <v>7.0000000000000007E-2</v>
      </c>
      <c r="L5" s="1">
        <v>7.0000000000000007E-2</v>
      </c>
    </row>
    <row r="6" spans="1:12" x14ac:dyDescent="0.3">
      <c r="A6" t="s">
        <v>26</v>
      </c>
      <c r="B6" s="1">
        <v>0.15</v>
      </c>
      <c r="C6" s="1">
        <v>0.15</v>
      </c>
      <c r="D6" s="1">
        <v>0.15</v>
      </c>
      <c r="E6" s="1">
        <v>0.15</v>
      </c>
      <c r="F6" s="1">
        <v>0.15</v>
      </c>
      <c r="G6" s="1">
        <v>0.15</v>
      </c>
      <c r="H6" s="1">
        <v>0.15</v>
      </c>
      <c r="I6" s="1">
        <v>0.15</v>
      </c>
      <c r="J6" s="1">
        <v>0.15</v>
      </c>
      <c r="K6" s="1">
        <v>0.15</v>
      </c>
      <c r="L6" s="1">
        <v>0.15</v>
      </c>
    </row>
    <row r="9" spans="1:12" x14ac:dyDescent="0.3">
      <c r="A9" t="s">
        <v>0</v>
      </c>
      <c r="B9">
        <f>B3</f>
        <v>3</v>
      </c>
      <c r="C9">
        <f>C3</f>
        <v>3</v>
      </c>
      <c r="D9">
        <f t="shared" ref="D9:L9" si="1">D3</f>
        <v>3</v>
      </c>
      <c r="E9">
        <f t="shared" si="1"/>
        <v>3</v>
      </c>
      <c r="F9">
        <f t="shared" si="1"/>
        <v>3</v>
      </c>
      <c r="G9">
        <f t="shared" si="1"/>
        <v>3</v>
      </c>
      <c r="H9">
        <f t="shared" si="1"/>
        <v>3</v>
      </c>
      <c r="I9">
        <f t="shared" si="1"/>
        <v>3</v>
      </c>
      <c r="J9">
        <f t="shared" si="1"/>
        <v>3</v>
      </c>
      <c r="K9">
        <f t="shared" si="1"/>
        <v>3</v>
      </c>
      <c r="L9">
        <f t="shared" si="1"/>
        <v>3</v>
      </c>
    </row>
    <row r="10" spans="1:12" x14ac:dyDescent="0.3">
      <c r="A10" t="s">
        <v>1</v>
      </c>
      <c r="B10">
        <v>2.9137192891813797</v>
      </c>
      <c r="C10">
        <v>3.1582291140892322</v>
      </c>
      <c r="D10">
        <v>3.4258667989704641</v>
      </c>
      <c r="E10">
        <v>3.7183024152698509</v>
      </c>
      <c r="F10">
        <v>4.0374777194475842</v>
      </c>
      <c r="G10">
        <v>4.3855523897161381</v>
      </c>
      <c r="H10">
        <v>4.7649405879570725</v>
      </c>
      <c r="I10">
        <v>5.178290396101044</v>
      </c>
      <c r="J10">
        <v>5.6285164134766204</v>
      </c>
      <c r="K10">
        <v>6.1187942123900392</v>
      </c>
      <c r="L10">
        <v>6.6526002321301467</v>
      </c>
    </row>
    <row r="11" spans="1:12" x14ac:dyDescent="0.3">
      <c r="A11" t="s">
        <v>27</v>
      </c>
      <c r="B11" s="1">
        <f>B5</f>
        <v>7.0000000000000007E-2</v>
      </c>
      <c r="C11" s="1">
        <f>C5</f>
        <v>7.0000000000000007E-2</v>
      </c>
      <c r="D11" s="1">
        <f t="shared" ref="D11:L11" si="2">D5</f>
        <v>7.0000000000000007E-2</v>
      </c>
      <c r="E11" s="1">
        <f t="shared" si="2"/>
        <v>7.0000000000000007E-2</v>
      </c>
      <c r="F11" s="1">
        <f t="shared" si="2"/>
        <v>7.0000000000000007E-2</v>
      </c>
      <c r="G11" s="1">
        <f t="shared" si="2"/>
        <v>7.0000000000000007E-2</v>
      </c>
      <c r="H11" s="1">
        <f t="shared" si="2"/>
        <v>7.0000000000000007E-2</v>
      </c>
      <c r="I11" s="1">
        <f t="shared" si="2"/>
        <v>7.0000000000000007E-2</v>
      </c>
      <c r="J11" s="1">
        <f t="shared" si="2"/>
        <v>7.0000000000000007E-2</v>
      </c>
      <c r="K11" s="1">
        <f t="shared" si="2"/>
        <v>7.0000000000000007E-2</v>
      </c>
      <c r="L11" s="1">
        <f t="shared" si="2"/>
        <v>7.0000000000000007E-2</v>
      </c>
    </row>
    <row r="12" spans="1:12" x14ac:dyDescent="0.3">
      <c r="A12" t="s">
        <v>2</v>
      </c>
      <c r="B12">
        <f>B4</f>
        <v>5</v>
      </c>
      <c r="C12">
        <f>C4</f>
        <v>6</v>
      </c>
      <c r="D12">
        <f t="shared" ref="D12:L12" si="3">D4</f>
        <v>7</v>
      </c>
      <c r="E12">
        <f t="shared" si="3"/>
        <v>8</v>
      </c>
      <c r="F12">
        <f t="shared" si="3"/>
        <v>9</v>
      </c>
      <c r="G12">
        <f t="shared" si="3"/>
        <v>10</v>
      </c>
      <c r="H12">
        <f t="shared" si="3"/>
        <v>11</v>
      </c>
      <c r="I12">
        <f t="shared" si="3"/>
        <v>12</v>
      </c>
      <c r="J12">
        <f t="shared" si="3"/>
        <v>13</v>
      </c>
      <c r="K12">
        <f t="shared" si="3"/>
        <v>14</v>
      </c>
      <c r="L12">
        <f t="shared" si="3"/>
        <v>15</v>
      </c>
    </row>
    <row r="13" spans="1:12" x14ac:dyDescent="0.3">
      <c r="A13" t="s">
        <v>28</v>
      </c>
      <c r="B13" s="1">
        <f>B6</f>
        <v>0.15</v>
      </c>
      <c r="C13" s="1">
        <f>C6</f>
        <v>0.15</v>
      </c>
      <c r="D13" s="1">
        <f t="shared" ref="D13:L13" si="4">D6</f>
        <v>0.15</v>
      </c>
      <c r="E13" s="1">
        <f t="shared" si="4"/>
        <v>0.15</v>
      </c>
      <c r="F13" s="1">
        <f t="shared" si="4"/>
        <v>0.15</v>
      </c>
      <c r="G13" s="1">
        <f t="shared" si="4"/>
        <v>0.15</v>
      </c>
      <c r="H13" s="1">
        <f t="shared" si="4"/>
        <v>0.15</v>
      </c>
      <c r="I13" s="1">
        <f t="shared" si="4"/>
        <v>0.15</v>
      </c>
      <c r="J13" s="1">
        <f t="shared" si="4"/>
        <v>0.15</v>
      </c>
      <c r="K13" s="1">
        <f t="shared" si="4"/>
        <v>0.15</v>
      </c>
      <c r="L13" s="1">
        <f t="shared" si="4"/>
        <v>0.15</v>
      </c>
    </row>
    <row r="14" spans="1:12" x14ac:dyDescent="0.3">
      <c r="A14" t="s">
        <v>29</v>
      </c>
      <c r="B14">
        <f>(LN(B9/B10)+(B11+B13^2/2)*B12)/(B13*SQRT(B12))</f>
        <v>1.2982071555987453</v>
      </c>
      <c r="C14">
        <f>(LN(C9/C10)+(C11+C13^2/2)*C12)/(C13*SQRT(C12))</f>
        <v>1.1869161087517579</v>
      </c>
      <c r="D14">
        <f t="shared" ref="D14:L14" si="5">(LN(D9/D10)+(D11+D13^2/2)*D12)/(D13*SQRT(D12))</f>
        <v>1.0986363108744432</v>
      </c>
      <c r="E14">
        <f t="shared" si="5"/>
        <v>1.0261181575917284</v>
      </c>
      <c r="F14">
        <f t="shared" si="5"/>
        <v>0.9649824856391922</v>
      </c>
      <c r="G14">
        <f t="shared" si="5"/>
        <v>0.91241555342645353</v>
      </c>
      <c r="H14">
        <f t="shared" si="5"/>
        <v>0.86649781492270561</v>
      </c>
      <c r="I14">
        <f t="shared" si="5"/>
        <v>0.82587516940254346</v>
      </c>
      <c r="J14">
        <f t="shared" si="5"/>
        <v>0.78955359499595423</v>
      </c>
      <c r="K14">
        <f t="shared" si="5"/>
        <v>0.75678982470237754</v>
      </c>
      <c r="L14">
        <f t="shared" si="5"/>
        <v>0.72700974988517686</v>
      </c>
    </row>
    <row r="15" spans="1:12" x14ac:dyDescent="0.3">
      <c r="A15" t="s">
        <v>30</v>
      </c>
      <c r="B15">
        <f>B14-B13*SQRT(B12)</f>
        <v>0.96279695897377682</v>
      </c>
      <c r="C15">
        <f>C14-C13*SQRT(C12)</f>
        <v>0.81949264733428118</v>
      </c>
      <c r="D15">
        <f t="shared" ref="D15:L15" si="6">D14-D13*SQRT(D12)</f>
        <v>0.70177361421475459</v>
      </c>
      <c r="E15">
        <f t="shared" si="6"/>
        <v>0.60185408887979985</v>
      </c>
      <c r="F15">
        <f t="shared" si="6"/>
        <v>0.51498248563919224</v>
      </c>
      <c r="G15">
        <f t="shared" si="6"/>
        <v>0.43807390440119665</v>
      </c>
      <c r="H15">
        <f t="shared" si="6"/>
        <v>0.36900409636939568</v>
      </c>
      <c r="I15">
        <f t="shared" si="6"/>
        <v>0.30625992713188033</v>
      </c>
      <c r="J15">
        <f t="shared" si="6"/>
        <v>0.24872090367635591</v>
      </c>
      <c r="K15">
        <f t="shared" si="6"/>
        <v>0.19554121668628632</v>
      </c>
      <c r="L15">
        <f t="shared" si="6"/>
        <v>0.14606224795406431</v>
      </c>
    </row>
    <row r="17" spans="1:12" x14ac:dyDescent="0.3">
      <c r="A17" t="s">
        <v>31</v>
      </c>
      <c r="B17">
        <f>B9*NORMSDIST(B14)-B10*EXP(-B11*B12)*NORMSDIST(B15)</f>
        <v>1.0000008020861522</v>
      </c>
      <c r="C17">
        <f>C9*NORMSDIST(C14)-C10*EXP(-C11*C12)*NORMSDIST(C15)</f>
        <v>1.0000004148489194</v>
      </c>
      <c r="D17">
        <f t="shared" ref="D17:L17" si="7">D9*NORMSDIST(D14)-D10*EXP(-D11*D12)*NORMSDIST(D15)</f>
        <v>0.99999946710810472</v>
      </c>
      <c r="E17">
        <f t="shared" si="7"/>
        <v>1.0000005149814961</v>
      </c>
      <c r="F17">
        <f t="shared" si="7"/>
        <v>0.99999908094993684</v>
      </c>
      <c r="G17">
        <f t="shared" si="7"/>
        <v>0.99999960154390455</v>
      </c>
      <c r="H17">
        <f t="shared" si="7"/>
        <v>0.99999972405387205</v>
      </c>
      <c r="I17">
        <f t="shared" si="7"/>
        <v>1.0000006008359776</v>
      </c>
      <c r="J17">
        <f t="shared" si="7"/>
        <v>1.0000003879524344</v>
      </c>
      <c r="K17">
        <f t="shared" si="7"/>
        <v>1.0000003633227341</v>
      </c>
      <c r="L17">
        <f t="shared" si="7"/>
        <v>0.99999958228416097</v>
      </c>
    </row>
    <row r="18" spans="1:12" x14ac:dyDescent="0.3">
      <c r="A18" t="s">
        <v>32</v>
      </c>
      <c r="B18">
        <f>B10*EXP(-B11*B12)*NORMSDIST(-B15)-B9*NORMSDIST(-B14)</f>
        <v>5.3264081955945675E-2</v>
      </c>
      <c r="C18">
        <f>C10*EXP(-C11*C12)*NORMSDIST(-C15)-C9*NORMSDIST(-C14)</f>
        <v>7.510481050857315E-2</v>
      </c>
      <c r="D18">
        <f t="shared" ref="D18:L18" si="8">D10*EXP(-D11*D12)*NORMSDIST(-D15)-D9*NORMSDIST(-D14)</f>
        <v>9.8775891117487746E-2</v>
      </c>
      <c r="E18">
        <f t="shared" si="8"/>
        <v>0.12392855671457503</v>
      </c>
      <c r="F18">
        <f t="shared" si="8"/>
        <v>0.15032661107574585</v>
      </c>
      <c r="G18">
        <f t="shared" si="8"/>
        <v>0.17780046728423471</v>
      </c>
      <c r="H18">
        <f t="shared" si="8"/>
        <v>0.20622948600458368</v>
      </c>
      <c r="I18">
        <f t="shared" si="8"/>
        <v>0.23552305820453545</v>
      </c>
      <c r="J18">
        <f t="shared" si="8"/>
        <v>0.26561458974769392</v>
      </c>
      <c r="K18">
        <f t="shared" si="8"/>
        <v>0.29645174282042341</v>
      </c>
      <c r="L18">
        <f t="shared" si="8"/>
        <v>0.32799553325213415</v>
      </c>
    </row>
    <row r="20" spans="1:12" x14ac:dyDescent="0.3">
      <c r="A20" t="s">
        <v>33</v>
      </c>
      <c r="B20">
        <f>B10*EXP(-B5*B4)-B18</f>
        <v>1.9999991979138483</v>
      </c>
      <c r="C20">
        <f>C10*EXP(-C5*C4)-C18</f>
        <v>1.9999995851510808</v>
      </c>
      <c r="D20">
        <f t="shared" ref="D20:L20" si="9">D10*EXP(-D5*D4)-D18</f>
        <v>2.0000005328918955</v>
      </c>
      <c r="E20">
        <f t="shared" si="9"/>
        <v>1.9999994850185039</v>
      </c>
      <c r="F20">
        <f t="shared" si="9"/>
        <v>2.0000009190500632</v>
      </c>
      <c r="G20">
        <f t="shared" si="9"/>
        <v>2.0000003984560952</v>
      </c>
      <c r="H20">
        <f t="shared" si="9"/>
        <v>2.0000002759461277</v>
      </c>
      <c r="I20">
        <f t="shared" si="9"/>
        <v>1.9999993991640226</v>
      </c>
      <c r="J20">
        <f t="shared" si="9"/>
        <v>1.9999996120475658</v>
      </c>
      <c r="K20">
        <f t="shared" si="9"/>
        <v>1.9999996366772657</v>
      </c>
      <c r="L20">
        <f t="shared" si="9"/>
        <v>2.0000004177158388</v>
      </c>
    </row>
    <row r="23" spans="1:12" x14ac:dyDescent="0.3">
      <c r="A23" t="s">
        <v>34</v>
      </c>
      <c r="B23">
        <f>LN(B10/B2)/B4</f>
        <v>7.5256638157769645E-2</v>
      </c>
      <c r="C23">
        <f>LN(C10/C2)/C4</f>
        <v>7.6144047169738563E-2</v>
      </c>
      <c r="D23">
        <f t="shared" ref="D23:L23" si="10">LN(D10/D2)/D4</f>
        <v>7.6886762732325836E-2</v>
      </c>
      <c r="E23">
        <f t="shared" si="10"/>
        <v>7.7515005448638735E-2</v>
      </c>
      <c r="F23">
        <f t="shared" si="10"/>
        <v>7.8052554396725343E-2</v>
      </c>
      <c r="G23">
        <f t="shared" si="10"/>
        <v>7.8516840989956788E-2</v>
      </c>
      <c r="H23">
        <f t="shared" si="10"/>
        <v>7.8921626185813623E-2</v>
      </c>
      <c r="I23">
        <f t="shared" si="10"/>
        <v>7.9277315156144737E-2</v>
      </c>
      <c r="J23">
        <f t="shared" si="10"/>
        <v>7.9592208645033719E-2</v>
      </c>
      <c r="K23">
        <f t="shared" si="10"/>
        <v>7.9872705173800948E-2</v>
      </c>
      <c r="L23">
        <f t="shared" si="10"/>
        <v>8.0124040668853869E-2</v>
      </c>
    </row>
    <row r="24" spans="1:12" x14ac:dyDescent="0.3">
      <c r="A24" t="s">
        <v>35</v>
      </c>
      <c r="B24">
        <v>9.7341882179454928E-2</v>
      </c>
      <c r="C24">
        <v>9.9136142361137672E-2</v>
      </c>
      <c r="D24">
        <v>0.10050361430630764</v>
      </c>
      <c r="E24">
        <v>0.10157587062414865</v>
      </c>
      <c r="F24">
        <v>0.1024354946646657</v>
      </c>
      <c r="G24">
        <v>0.10313713279419871</v>
      </c>
      <c r="H24">
        <v>0.10371822765492243</v>
      </c>
      <c r="I24">
        <v>0.10420538360502533</v>
      </c>
      <c r="J24">
        <v>0.10461793803297</v>
      </c>
      <c r="K24">
        <v>0.10497036806990515</v>
      </c>
      <c r="L24">
        <v>0.10527369566192145</v>
      </c>
    </row>
    <row r="25" spans="1:12" x14ac:dyDescent="0.3">
      <c r="A25" t="s">
        <v>36</v>
      </c>
      <c r="B25">
        <f>B24/B23</f>
        <v>1.2934657269088383</v>
      </c>
      <c r="C25">
        <f t="shared" ref="C25:L25" si="11">C24/C23</f>
        <v>1.3019552551514062</v>
      </c>
      <c r="D25">
        <f t="shared" si="11"/>
        <v>1.3071640778556601</v>
      </c>
      <c r="E25">
        <f t="shared" si="11"/>
        <v>1.310402676697902</v>
      </c>
      <c r="F25">
        <f t="shared" si="11"/>
        <v>1.3123913170606409</v>
      </c>
      <c r="G25">
        <f t="shared" si="11"/>
        <v>1.313567019429515</v>
      </c>
      <c r="H25">
        <f t="shared" si="11"/>
        <v>1.3141927335699788</v>
      </c>
      <c r="I25">
        <f t="shared" si="11"/>
        <v>1.3144413808638982</v>
      </c>
      <c r="J25">
        <f t="shared" si="11"/>
        <v>1.314424361554613</v>
      </c>
      <c r="K25">
        <f t="shared" si="11"/>
        <v>1.3142207696796087</v>
      </c>
      <c r="L25">
        <f t="shared" si="11"/>
        <v>1.3138840076352247</v>
      </c>
    </row>
    <row r="26" spans="1:12" x14ac:dyDescent="0.3">
      <c r="A26" t="s">
        <v>38</v>
      </c>
      <c r="B26">
        <f>B24-B23</f>
        <v>2.2085244021685282E-2</v>
      </c>
      <c r="C26">
        <f t="shared" ref="C26:L26" si="12">C24-C23</f>
        <v>2.2992095191399109E-2</v>
      </c>
      <c r="D26">
        <f t="shared" si="12"/>
        <v>2.3616851573981801E-2</v>
      </c>
      <c r="E26">
        <f t="shared" si="12"/>
        <v>2.4060865175509913E-2</v>
      </c>
      <c r="F26">
        <f t="shared" si="12"/>
        <v>2.4382940267940356E-2</v>
      </c>
      <c r="G26">
        <f t="shared" si="12"/>
        <v>2.4620291804241926E-2</v>
      </c>
      <c r="H26">
        <f t="shared" si="12"/>
        <v>2.4796601469108809E-2</v>
      </c>
      <c r="I26">
        <f t="shared" si="12"/>
        <v>2.4928068448880597E-2</v>
      </c>
      <c r="J26">
        <f t="shared" si="12"/>
        <v>2.5025729387936277E-2</v>
      </c>
      <c r="K26">
        <f t="shared" si="12"/>
        <v>2.5097662896104198E-2</v>
      </c>
      <c r="L26">
        <f t="shared" si="12"/>
        <v>2.514965499306758E-2</v>
      </c>
    </row>
  </sheetData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workbookViewId="0">
      <selection activeCell="N17" sqref="N17"/>
    </sheetView>
  </sheetViews>
  <sheetFormatPr defaultRowHeight="12.45" x14ac:dyDescent="0.3"/>
  <cols>
    <col min="1" max="1" width="17.53515625" customWidth="1"/>
  </cols>
  <sheetData>
    <row r="1" spans="1:14" x14ac:dyDescent="0.3">
      <c r="A1" t="s">
        <v>19</v>
      </c>
      <c r="B1">
        <v>0.1</v>
      </c>
      <c r="C1">
        <v>0.2</v>
      </c>
      <c r="D1">
        <v>0.3</v>
      </c>
      <c r="E1">
        <v>0.4</v>
      </c>
      <c r="F1">
        <v>0.5</v>
      </c>
      <c r="G1">
        <v>0.6</v>
      </c>
      <c r="H1">
        <v>0.7</v>
      </c>
      <c r="I1">
        <v>0.8</v>
      </c>
      <c r="J1">
        <v>0.9</v>
      </c>
      <c r="K1">
        <v>1</v>
      </c>
      <c r="L1">
        <v>1.1000000000000001</v>
      </c>
      <c r="N1">
        <v>1</v>
      </c>
    </row>
    <row r="2" spans="1:14" x14ac:dyDescent="0.3">
      <c r="A2" t="s">
        <v>21</v>
      </c>
      <c r="B2">
        <f>B3-B1</f>
        <v>2.9</v>
      </c>
      <c r="C2">
        <f t="shared" ref="C2:N2" si="0">C3-C1</f>
        <v>2.8</v>
      </c>
      <c r="D2">
        <f t="shared" si="0"/>
        <v>2.7</v>
      </c>
      <c r="E2">
        <f t="shared" si="0"/>
        <v>2.6</v>
      </c>
      <c r="F2">
        <f t="shared" si="0"/>
        <v>2.5</v>
      </c>
      <c r="G2">
        <f t="shared" si="0"/>
        <v>2.4</v>
      </c>
      <c r="H2">
        <f t="shared" si="0"/>
        <v>2.2999999999999998</v>
      </c>
      <c r="I2">
        <f t="shared" si="0"/>
        <v>2.2000000000000002</v>
      </c>
      <c r="J2">
        <f t="shared" si="0"/>
        <v>2.1</v>
      </c>
      <c r="K2">
        <f t="shared" si="0"/>
        <v>2</v>
      </c>
      <c r="L2">
        <f t="shared" si="0"/>
        <v>1.9</v>
      </c>
      <c r="N2">
        <f t="shared" si="0"/>
        <v>2</v>
      </c>
    </row>
    <row r="3" spans="1:14" x14ac:dyDescent="0.3">
      <c r="A3" t="s">
        <v>22</v>
      </c>
      <c r="B3">
        <v>3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3</v>
      </c>
      <c r="L3">
        <v>3</v>
      </c>
      <c r="N3">
        <v>3</v>
      </c>
    </row>
    <row r="4" spans="1:14" x14ac:dyDescent="0.3">
      <c r="A4" t="s">
        <v>23</v>
      </c>
      <c r="B4">
        <v>5</v>
      </c>
      <c r="C4">
        <v>5</v>
      </c>
      <c r="D4">
        <v>5</v>
      </c>
      <c r="E4">
        <v>5</v>
      </c>
      <c r="F4">
        <v>5</v>
      </c>
      <c r="G4">
        <v>5</v>
      </c>
      <c r="H4">
        <v>5</v>
      </c>
      <c r="I4">
        <v>5</v>
      </c>
      <c r="J4">
        <v>5</v>
      </c>
      <c r="K4">
        <v>5</v>
      </c>
      <c r="L4">
        <v>5</v>
      </c>
      <c r="N4">
        <v>5</v>
      </c>
    </row>
    <row r="5" spans="1:14" x14ac:dyDescent="0.3">
      <c r="A5" t="s">
        <v>25</v>
      </c>
      <c r="B5" s="1">
        <v>7.0000000000000007E-2</v>
      </c>
      <c r="C5" s="1">
        <v>7.0000000000000007E-2</v>
      </c>
      <c r="D5" s="1">
        <v>7.0000000000000007E-2</v>
      </c>
      <c r="E5" s="1">
        <v>7.0000000000000007E-2</v>
      </c>
      <c r="F5" s="1">
        <v>7.0000000000000007E-2</v>
      </c>
      <c r="G5" s="1">
        <v>7.0000000000000007E-2</v>
      </c>
      <c r="H5" s="1">
        <v>7.0000000000000007E-2</v>
      </c>
      <c r="I5" s="1">
        <v>7.0000000000000007E-2</v>
      </c>
      <c r="J5" s="1">
        <v>7.0000000000000007E-2</v>
      </c>
      <c r="K5" s="1">
        <v>7.0000000000000007E-2</v>
      </c>
      <c r="L5" s="1">
        <v>7.0000000000000007E-2</v>
      </c>
      <c r="N5" s="1">
        <v>7.0000000000000007E-2</v>
      </c>
    </row>
    <row r="6" spans="1:14" x14ac:dyDescent="0.3">
      <c r="A6" t="s">
        <v>26</v>
      </c>
      <c r="B6" s="1">
        <v>0.25</v>
      </c>
      <c r="C6" s="1">
        <v>0.25</v>
      </c>
      <c r="D6" s="1">
        <v>0.25</v>
      </c>
      <c r="E6" s="1">
        <v>0.25</v>
      </c>
      <c r="F6" s="1">
        <v>0.25</v>
      </c>
      <c r="G6" s="1">
        <v>0.25</v>
      </c>
      <c r="H6" s="1">
        <v>0.25</v>
      </c>
      <c r="I6" s="1">
        <v>0.25</v>
      </c>
      <c r="J6" s="1">
        <v>0.25</v>
      </c>
      <c r="K6" s="1">
        <v>0.25</v>
      </c>
      <c r="L6" s="1">
        <v>0.25</v>
      </c>
      <c r="N6" s="1">
        <v>0.35</v>
      </c>
    </row>
    <row r="9" spans="1:14" x14ac:dyDescent="0.3">
      <c r="A9" t="s">
        <v>0</v>
      </c>
      <c r="B9">
        <f>B3</f>
        <v>3</v>
      </c>
      <c r="C9">
        <f>C3</f>
        <v>3</v>
      </c>
      <c r="D9">
        <f t="shared" ref="D9:L9" si="1">D3</f>
        <v>3</v>
      </c>
      <c r="E9">
        <f t="shared" si="1"/>
        <v>3</v>
      </c>
      <c r="F9">
        <f t="shared" si="1"/>
        <v>3</v>
      </c>
      <c r="G9">
        <f t="shared" si="1"/>
        <v>3</v>
      </c>
      <c r="H9">
        <f t="shared" si="1"/>
        <v>3</v>
      </c>
      <c r="I9">
        <f t="shared" si="1"/>
        <v>3</v>
      </c>
      <c r="J9">
        <f t="shared" si="1"/>
        <v>3</v>
      </c>
      <c r="K9">
        <f t="shared" si="1"/>
        <v>3</v>
      </c>
      <c r="L9">
        <f t="shared" si="1"/>
        <v>3</v>
      </c>
      <c r="N9">
        <f>N3</f>
        <v>3</v>
      </c>
    </row>
    <row r="10" spans="1:14" x14ac:dyDescent="0.3">
      <c r="A10" t="s">
        <v>1</v>
      </c>
      <c r="B10">
        <v>8.982456410730693</v>
      </c>
      <c r="C10">
        <v>7.1818349603817548</v>
      </c>
      <c r="D10">
        <v>6.1699152088915445</v>
      </c>
      <c r="E10">
        <v>5.4663615782254311</v>
      </c>
      <c r="F10">
        <v>4.9265822778634822</v>
      </c>
      <c r="G10">
        <v>4.4878477383469537</v>
      </c>
      <c r="H10">
        <v>4.1173303938353332</v>
      </c>
      <c r="I10">
        <v>3.7957115278232312</v>
      </c>
      <c r="J10">
        <v>3.510682133876434</v>
      </c>
      <c r="K10">
        <v>3.2539085133389385</v>
      </c>
      <c r="L10">
        <v>3.0194697649026727</v>
      </c>
      <c r="N10">
        <v>3.2539085133389385</v>
      </c>
    </row>
    <row r="11" spans="1:14" x14ac:dyDescent="0.3">
      <c r="A11" t="s">
        <v>27</v>
      </c>
      <c r="B11" s="1">
        <f>B5</f>
        <v>7.0000000000000007E-2</v>
      </c>
      <c r="C11" s="1">
        <f>C5</f>
        <v>7.0000000000000007E-2</v>
      </c>
      <c r="D11" s="1">
        <f t="shared" ref="D11:L11" si="2">D5</f>
        <v>7.0000000000000007E-2</v>
      </c>
      <c r="E11" s="1">
        <f t="shared" si="2"/>
        <v>7.0000000000000007E-2</v>
      </c>
      <c r="F11" s="1">
        <f t="shared" si="2"/>
        <v>7.0000000000000007E-2</v>
      </c>
      <c r="G11" s="1">
        <f t="shared" si="2"/>
        <v>7.0000000000000007E-2</v>
      </c>
      <c r="H11" s="1">
        <f t="shared" si="2"/>
        <v>7.0000000000000007E-2</v>
      </c>
      <c r="I11" s="1">
        <f t="shared" si="2"/>
        <v>7.0000000000000007E-2</v>
      </c>
      <c r="J11" s="1">
        <f t="shared" si="2"/>
        <v>7.0000000000000007E-2</v>
      </c>
      <c r="K11" s="1">
        <f t="shared" si="2"/>
        <v>7.0000000000000007E-2</v>
      </c>
      <c r="L11" s="1">
        <f t="shared" si="2"/>
        <v>7.0000000000000007E-2</v>
      </c>
      <c r="N11" s="1">
        <f>N5</f>
        <v>7.0000000000000007E-2</v>
      </c>
    </row>
    <row r="12" spans="1:14" x14ac:dyDescent="0.3">
      <c r="A12" t="s">
        <v>2</v>
      </c>
      <c r="B12">
        <f>B4</f>
        <v>5</v>
      </c>
      <c r="C12">
        <f>C4</f>
        <v>5</v>
      </c>
      <c r="D12">
        <f t="shared" ref="D12:L12" si="3">D4</f>
        <v>5</v>
      </c>
      <c r="E12">
        <f t="shared" si="3"/>
        <v>5</v>
      </c>
      <c r="F12">
        <f t="shared" si="3"/>
        <v>5</v>
      </c>
      <c r="G12">
        <f t="shared" si="3"/>
        <v>5</v>
      </c>
      <c r="H12">
        <f t="shared" si="3"/>
        <v>5</v>
      </c>
      <c r="I12">
        <f t="shared" si="3"/>
        <v>5</v>
      </c>
      <c r="J12">
        <f t="shared" si="3"/>
        <v>5</v>
      </c>
      <c r="K12">
        <f t="shared" si="3"/>
        <v>5</v>
      </c>
      <c r="L12">
        <f t="shared" si="3"/>
        <v>5</v>
      </c>
      <c r="N12">
        <f>N4</f>
        <v>5</v>
      </c>
    </row>
    <row r="13" spans="1:14" x14ac:dyDescent="0.3">
      <c r="A13" t="s">
        <v>28</v>
      </c>
      <c r="B13" s="1">
        <f>B6</f>
        <v>0.25</v>
      </c>
      <c r="C13" s="1">
        <f>C6</f>
        <v>0.25</v>
      </c>
      <c r="D13" s="1">
        <f t="shared" ref="D13:L13" si="4">D6</f>
        <v>0.25</v>
      </c>
      <c r="E13" s="1">
        <f t="shared" si="4"/>
        <v>0.25</v>
      </c>
      <c r="F13" s="1">
        <f t="shared" si="4"/>
        <v>0.25</v>
      </c>
      <c r="G13" s="1">
        <f t="shared" si="4"/>
        <v>0.25</v>
      </c>
      <c r="H13" s="1">
        <f t="shared" si="4"/>
        <v>0.25</v>
      </c>
      <c r="I13" s="1">
        <f t="shared" si="4"/>
        <v>0.25</v>
      </c>
      <c r="J13" s="1">
        <f t="shared" si="4"/>
        <v>0.25</v>
      </c>
      <c r="K13" s="1">
        <f t="shared" si="4"/>
        <v>0.25</v>
      </c>
      <c r="L13" s="1">
        <f t="shared" si="4"/>
        <v>0.25</v>
      </c>
      <c r="N13" s="1">
        <f>N6</f>
        <v>0.35</v>
      </c>
    </row>
    <row r="14" spans="1:14" x14ac:dyDescent="0.3">
      <c r="A14" t="s">
        <v>29</v>
      </c>
      <c r="B14">
        <f>(LN(B9/B10)+(B11+B13^2/2)*B12)/(B13*SQRT(B12))</f>
        <v>-1.0561594809794299</v>
      </c>
      <c r="C14">
        <f>(LN(C9/C10)+(C11+C13^2/2)*C12)/(C13*SQRT(C12))</f>
        <v>-0.65595971310945367</v>
      </c>
      <c r="D14">
        <f t="shared" ref="D14:N14" si="5">(LN(D9/D10)+(D11+D13^2/2)*D12)/(D13*SQRT(D12))</f>
        <v>-0.38428671907165585</v>
      </c>
      <c r="E14">
        <f t="shared" si="5"/>
        <v>-0.16770679249239048</v>
      </c>
      <c r="F14">
        <f t="shared" si="5"/>
        <v>1.8276351258429288E-2</v>
      </c>
      <c r="G14">
        <f t="shared" si="5"/>
        <v>0.18512683596001028</v>
      </c>
      <c r="H14">
        <f t="shared" si="5"/>
        <v>0.33926928858146022</v>
      </c>
      <c r="I14">
        <f t="shared" si="5"/>
        <v>0.48476237262736899</v>
      </c>
      <c r="J14">
        <f t="shared" si="5"/>
        <v>0.62440307441186427</v>
      </c>
      <c r="K14">
        <f t="shared" si="5"/>
        <v>0.76027276394401866</v>
      </c>
      <c r="L14">
        <f t="shared" si="5"/>
        <v>0.89403551638121947</v>
      </c>
      <c r="N14">
        <f t="shared" si="5"/>
        <v>0.73471494374570956</v>
      </c>
    </row>
    <row r="15" spans="1:14" x14ac:dyDescent="0.3">
      <c r="A15" t="s">
        <v>30</v>
      </c>
      <c r="B15">
        <f>B14-B13*SQRT(B12)</f>
        <v>-1.6151764753543774</v>
      </c>
      <c r="C15">
        <f>C14-C13*SQRT(C12)</f>
        <v>-1.2149767074844011</v>
      </c>
      <c r="D15">
        <f t="shared" ref="D15:N15" si="6">D14-D13*SQRT(D12)</f>
        <v>-0.94330371344660335</v>
      </c>
      <c r="E15">
        <f t="shared" si="6"/>
        <v>-0.72672378686733796</v>
      </c>
      <c r="F15">
        <f t="shared" si="6"/>
        <v>-0.54074064311651815</v>
      </c>
      <c r="G15">
        <f t="shared" si="6"/>
        <v>-0.37389015841493717</v>
      </c>
      <c r="H15">
        <f t="shared" si="6"/>
        <v>-0.21974770579348724</v>
      </c>
      <c r="I15">
        <f t="shared" si="6"/>
        <v>-7.4254621747578464E-2</v>
      </c>
      <c r="J15">
        <f t="shared" si="6"/>
        <v>6.5386080036916816E-2</v>
      </c>
      <c r="K15">
        <f t="shared" si="6"/>
        <v>0.20125576956907121</v>
      </c>
      <c r="L15">
        <f t="shared" si="6"/>
        <v>0.33501852200627202</v>
      </c>
      <c r="N15">
        <f t="shared" si="6"/>
        <v>-4.7908848379216828E-2</v>
      </c>
    </row>
    <row r="17" spans="1:14" x14ac:dyDescent="0.3">
      <c r="A17" t="s">
        <v>31</v>
      </c>
      <c r="B17">
        <f>B9*NORMSDIST(B14)-B10*EXP(-B11*B12)*NORMSDIST(B15)</f>
        <v>9.9999659191333135E-2</v>
      </c>
      <c r="C17">
        <f>C9*NORMSDIST(C14)-C10*EXP(-C11*C12)*NORMSDIST(C15)</f>
        <v>0.19999940398077987</v>
      </c>
      <c r="D17">
        <f t="shared" ref="D17:L17" si="7">D9*NORMSDIST(D14)-D10*EXP(-D11*D12)*NORMSDIST(D15)</f>
        <v>0.29999951242001521</v>
      </c>
      <c r="E17">
        <f t="shared" si="7"/>
        <v>0.39999914208275578</v>
      </c>
      <c r="F17">
        <f t="shared" si="7"/>
        <v>0.50000005683439808</v>
      </c>
      <c r="G17">
        <f t="shared" si="7"/>
        <v>0.60000048441386222</v>
      </c>
      <c r="H17">
        <f t="shared" si="7"/>
        <v>0.6999994324452663</v>
      </c>
      <c r="I17">
        <f t="shared" si="7"/>
        <v>0.79999972619315307</v>
      </c>
      <c r="J17">
        <f t="shared" si="7"/>
        <v>0.90000036089099189</v>
      </c>
      <c r="K17">
        <f t="shared" si="7"/>
        <v>0.99999975516374207</v>
      </c>
      <c r="L17">
        <f t="shared" si="7"/>
        <v>1.0999999903034841</v>
      </c>
      <c r="N17">
        <f>N9*NORMSDIST(N14)-N10*EXP(-N11*N12)*NORMSDIST(N15)</f>
        <v>1.2035438972206536</v>
      </c>
    </row>
    <row r="18" spans="1:14" x14ac:dyDescent="0.3">
      <c r="A18" t="s">
        <v>32</v>
      </c>
      <c r="B18">
        <f>B10*EXP(-B11*B12)*NORMSDIST(-B15)-B9*NORMSDIST(-B14)</f>
        <v>3.4298297082507565</v>
      </c>
      <c r="C18">
        <f>C10*EXP(-C11*C12)*NORMSDIST(-C15)-C9*NORMSDIST(-C14)</f>
        <v>2.26095296288727</v>
      </c>
      <c r="D18">
        <f t="shared" ref="D18:L18" si="8">D10*EXP(-D11*D12)*NORMSDIST(-D15)-D9*NORMSDIST(-D14)</f>
        <v>1.6478652747002343</v>
      </c>
      <c r="E18">
        <f t="shared" si="8"/>
        <v>1.2520790403542064</v>
      </c>
      <c r="F18">
        <f t="shared" si="8"/>
        <v>0.97170391106408371</v>
      </c>
      <c r="G18">
        <f t="shared" si="8"/>
        <v>0.76253333409802515</v>
      </c>
      <c r="H18">
        <f t="shared" si="8"/>
        <v>0.60143312241788527</v>
      </c>
      <c r="I18">
        <f t="shared" si="8"/>
        <v>0.47479243185820508</v>
      </c>
      <c r="J18">
        <f t="shared" si="8"/>
        <v>0.37393624742199294</v>
      </c>
      <c r="K18">
        <f t="shared" si="8"/>
        <v>0.29299032954801763</v>
      </c>
      <c r="L18">
        <f t="shared" si="8"/>
        <v>0.22778437089616077</v>
      </c>
      <c r="N18">
        <f>N10*EXP(-N11*N12)*NORMSDIST(-N15)-N9*NORMSDIST(-N14)</f>
        <v>0.49653447160492881</v>
      </c>
    </row>
    <row r="20" spans="1:14" x14ac:dyDescent="0.3">
      <c r="A20" t="s">
        <v>33</v>
      </c>
      <c r="B20">
        <f>B10*EXP(-B5*B4)-B18</f>
        <v>2.900000340808667</v>
      </c>
      <c r="C20">
        <f>C10*EXP(-C5*C4)-C18</f>
        <v>2.8000005960192205</v>
      </c>
      <c r="D20">
        <f t="shared" ref="D20:L20" si="9">D10*EXP(-D5*D4)-D18</f>
        <v>2.7000004875799846</v>
      </c>
      <c r="E20">
        <f t="shared" si="9"/>
        <v>2.6000008579172444</v>
      </c>
      <c r="F20">
        <f t="shared" si="9"/>
        <v>2.4999999431656015</v>
      </c>
      <c r="G20">
        <f t="shared" si="9"/>
        <v>2.399999515586138</v>
      </c>
      <c r="H20">
        <f t="shared" si="9"/>
        <v>2.3000005675547337</v>
      </c>
      <c r="I20">
        <f t="shared" si="9"/>
        <v>2.2000002738068467</v>
      </c>
      <c r="J20">
        <f t="shared" si="9"/>
        <v>2.0999996391090079</v>
      </c>
      <c r="K20">
        <f t="shared" si="9"/>
        <v>2.0000002448362579</v>
      </c>
      <c r="L20">
        <f t="shared" si="9"/>
        <v>1.9000000096965164</v>
      </c>
      <c r="N20">
        <f>N10*EXP(-N5*N4)-N18</f>
        <v>1.7964561027793464</v>
      </c>
    </row>
    <row r="23" spans="1:14" x14ac:dyDescent="0.3">
      <c r="A23" t="s">
        <v>34</v>
      </c>
      <c r="B23">
        <f>LN(B10/B2)/B4</f>
        <v>0.22611253006268134</v>
      </c>
      <c r="C23">
        <f>LN(C10/C2)/C4</f>
        <v>0.18838709974809023</v>
      </c>
      <c r="D23">
        <f t="shared" ref="D23:L23" si="10">LN(D10/D2)/D4</f>
        <v>0.16528666446629464</v>
      </c>
      <c r="E23">
        <f t="shared" si="10"/>
        <v>0.14862035814320654</v>
      </c>
      <c r="F23">
        <f t="shared" si="10"/>
        <v>0.13567095316906536</v>
      </c>
      <c r="G23">
        <f t="shared" si="10"/>
        <v>0.12518090077954019</v>
      </c>
      <c r="H23">
        <f t="shared" si="10"/>
        <v>0.11645917354929425</v>
      </c>
      <c r="I23">
        <f t="shared" si="10"/>
        <v>0.10908290475432388</v>
      </c>
      <c r="J23">
        <f t="shared" si="10"/>
        <v>0.10277460280050707</v>
      </c>
      <c r="K23">
        <f t="shared" si="10"/>
        <v>9.7341942540609058E-2</v>
      </c>
      <c r="L23">
        <f t="shared" si="10"/>
        <v>9.2645471052766312E-2</v>
      </c>
      <c r="N23">
        <f>LN(N10/N2)/N4</f>
        <v>9.7341942540609058E-2</v>
      </c>
    </row>
    <row r="24" spans="1:14" x14ac:dyDescent="0.3">
      <c r="A24" t="s">
        <v>39</v>
      </c>
      <c r="B24">
        <f>B2/B1</f>
        <v>28.999999999999996</v>
      </c>
      <c r="C24">
        <f t="shared" ref="C24:L24" si="11">C2/C1</f>
        <v>13.999999999999998</v>
      </c>
      <c r="D24">
        <f t="shared" si="11"/>
        <v>9.0000000000000018</v>
      </c>
      <c r="E24">
        <f t="shared" si="11"/>
        <v>6.5</v>
      </c>
      <c r="F24">
        <f t="shared" si="11"/>
        <v>5</v>
      </c>
      <c r="G24">
        <f t="shared" si="11"/>
        <v>4</v>
      </c>
      <c r="H24">
        <f t="shared" si="11"/>
        <v>3.2857142857142856</v>
      </c>
      <c r="I24">
        <f t="shared" si="11"/>
        <v>2.75</v>
      </c>
      <c r="J24">
        <f t="shared" si="11"/>
        <v>2.3333333333333335</v>
      </c>
      <c r="K24">
        <f t="shared" si="11"/>
        <v>2</v>
      </c>
      <c r="L24">
        <f t="shared" si="11"/>
        <v>1.7272727272727271</v>
      </c>
      <c r="N24">
        <f>N2/N1</f>
        <v>2</v>
      </c>
    </row>
  </sheetData>
  <phoneticPr fontId="1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5"/>
  <sheetViews>
    <sheetView workbookViewId="0">
      <selection activeCell="D31" sqref="D31"/>
    </sheetView>
  </sheetViews>
  <sheetFormatPr defaultRowHeight="12.45" x14ac:dyDescent="0.3"/>
  <cols>
    <col min="1" max="1" width="16" customWidth="1"/>
  </cols>
  <sheetData>
    <row r="1" spans="1:12" x14ac:dyDescent="0.3">
      <c r="A1" t="s">
        <v>19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</row>
    <row r="2" spans="1:12" x14ac:dyDescent="0.3">
      <c r="A2" t="s">
        <v>21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</row>
    <row r="3" spans="1:12" x14ac:dyDescent="0.3">
      <c r="A3" t="s">
        <v>22</v>
      </c>
      <c r="B3">
        <f>B1+B2</f>
        <v>3</v>
      </c>
      <c r="C3">
        <f>C1+C2</f>
        <v>3</v>
      </c>
      <c r="D3">
        <f t="shared" ref="D3:L3" si="0">D1+D2</f>
        <v>3</v>
      </c>
      <c r="E3">
        <f t="shared" si="0"/>
        <v>3</v>
      </c>
      <c r="F3">
        <f t="shared" si="0"/>
        <v>3</v>
      </c>
      <c r="G3">
        <f t="shared" si="0"/>
        <v>3</v>
      </c>
      <c r="H3">
        <f t="shared" si="0"/>
        <v>3</v>
      </c>
      <c r="I3">
        <f t="shared" si="0"/>
        <v>3</v>
      </c>
      <c r="J3">
        <f t="shared" si="0"/>
        <v>3</v>
      </c>
      <c r="K3">
        <f t="shared" si="0"/>
        <v>3</v>
      </c>
      <c r="L3">
        <f t="shared" si="0"/>
        <v>3</v>
      </c>
    </row>
    <row r="4" spans="1:12" x14ac:dyDescent="0.3">
      <c r="A4" t="s">
        <v>23</v>
      </c>
      <c r="B4">
        <v>5</v>
      </c>
      <c r="C4">
        <v>6</v>
      </c>
      <c r="D4">
        <v>7</v>
      </c>
      <c r="E4">
        <v>8</v>
      </c>
      <c r="F4">
        <v>9</v>
      </c>
      <c r="G4">
        <v>10</v>
      </c>
      <c r="H4">
        <v>11</v>
      </c>
      <c r="I4">
        <v>12</v>
      </c>
      <c r="J4">
        <v>13</v>
      </c>
      <c r="K4">
        <v>14</v>
      </c>
      <c r="L4">
        <v>15</v>
      </c>
    </row>
    <row r="5" spans="1:12" x14ac:dyDescent="0.3">
      <c r="A5" t="s">
        <v>25</v>
      </c>
      <c r="B5" s="1">
        <v>0.05</v>
      </c>
      <c r="C5" s="1">
        <v>0.05</v>
      </c>
      <c r="D5" s="1">
        <v>0.05</v>
      </c>
      <c r="E5" s="1">
        <v>0.05</v>
      </c>
      <c r="F5" s="1">
        <v>0.05</v>
      </c>
      <c r="G5" s="1">
        <v>0.05</v>
      </c>
      <c r="H5" s="1">
        <v>0.05</v>
      </c>
      <c r="I5" s="1">
        <v>0.05</v>
      </c>
      <c r="J5" s="1">
        <v>0.05</v>
      </c>
      <c r="K5" s="1">
        <v>0.05</v>
      </c>
      <c r="L5" s="1">
        <v>0.05</v>
      </c>
    </row>
    <row r="6" spans="1:12" x14ac:dyDescent="0.3">
      <c r="A6" t="s">
        <v>26</v>
      </c>
      <c r="B6" s="1">
        <v>0.25</v>
      </c>
      <c r="C6" s="1">
        <v>0.25</v>
      </c>
      <c r="D6" s="1">
        <v>0.25</v>
      </c>
      <c r="E6" s="1">
        <v>0.25</v>
      </c>
      <c r="F6" s="1">
        <v>0.25</v>
      </c>
      <c r="G6" s="1">
        <v>0.25</v>
      </c>
      <c r="H6" s="1">
        <v>0.25</v>
      </c>
      <c r="I6" s="1">
        <v>0.25</v>
      </c>
      <c r="J6" s="1">
        <v>0.25</v>
      </c>
      <c r="K6" s="1">
        <v>0.25</v>
      </c>
      <c r="L6" s="1">
        <v>0.25</v>
      </c>
    </row>
    <row r="9" spans="1:12" x14ac:dyDescent="0.3">
      <c r="A9" t="s">
        <v>0</v>
      </c>
      <c r="B9">
        <f>B3</f>
        <v>3</v>
      </c>
      <c r="C9">
        <f>C3</f>
        <v>3</v>
      </c>
      <c r="D9">
        <f t="shared" ref="D9:L9" si="1">D3</f>
        <v>3</v>
      </c>
      <c r="E9">
        <f t="shared" si="1"/>
        <v>3</v>
      </c>
      <c r="F9">
        <f t="shared" si="1"/>
        <v>3</v>
      </c>
      <c r="G9">
        <f t="shared" si="1"/>
        <v>3</v>
      </c>
      <c r="H9">
        <f t="shared" si="1"/>
        <v>3</v>
      </c>
      <c r="I9">
        <f t="shared" si="1"/>
        <v>3</v>
      </c>
      <c r="J9">
        <f t="shared" si="1"/>
        <v>3</v>
      </c>
      <c r="K9">
        <f t="shared" si="1"/>
        <v>3</v>
      </c>
      <c r="L9">
        <f t="shared" si="1"/>
        <v>3</v>
      </c>
    </row>
    <row r="10" spans="1:12" x14ac:dyDescent="0.3">
      <c r="A10" t="s">
        <v>1</v>
      </c>
      <c r="B10">
        <v>2.9442563433083206</v>
      </c>
      <c r="C10">
        <v>3.2154415856829508</v>
      </c>
      <c r="D10">
        <v>3.5137068563037754</v>
      </c>
      <c r="E10">
        <v>3.8410819467904926</v>
      </c>
      <c r="F10">
        <v>4.1999225456148634</v>
      </c>
      <c r="G10">
        <v>4.5929284540026334</v>
      </c>
      <c r="H10">
        <v>5.0231037393435134</v>
      </c>
      <c r="I10">
        <v>5.4937486252640912</v>
      </c>
      <c r="J10">
        <v>6.008533763255886</v>
      </c>
      <c r="K10">
        <v>6.5714391979827536</v>
      </c>
      <c r="L10">
        <v>7.1868390111217666</v>
      </c>
    </row>
    <row r="11" spans="1:12" x14ac:dyDescent="0.3">
      <c r="A11" t="s">
        <v>27</v>
      </c>
      <c r="B11" s="1">
        <f>B5</f>
        <v>0.05</v>
      </c>
      <c r="C11" s="1">
        <f>C5</f>
        <v>0.05</v>
      </c>
      <c r="D11" s="1">
        <f t="shared" ref="D11:L11" si="2">D5</f>
        <v>0.05</v>
      </c>
      <c r="E11" s="1">
        <f t="shared" si="2"/>
        <v>0.05</v>
      </c>
      <c r="F11" s="1">
        <f t="shared" si="2"/>
        <v>0.05</v>
      </c>
      <c r="G11" s="1">
        <f t="shared" si="2"/>
        <v>0.05</v>
      </c>
      <c r="H11" s="1">
        <f t="shared" si="2"/>
        <v>0.05</v>
      </c>
      <c r="I11" s="1">
        <f t="shared" si="2"/>
        <v>0.05</v>
      </c>
      <c r="J11" s="1">
        <f t="shared" si="2"/>
        <v>0.05</v>
      </c>
      <c r="K11" s="1">
        <f t="shared" si="2"/>
        <v>0.05</v>
      </c>
      <c r="L11" s="1">
        <f t="shared" si="2"/>
        <v>0.05</v>
      </c>
    </row>
    <row r="12" spans="1:12" x14ac:dyDescent="0.3">
      <c r="A12" t="s">
        <v>2</v>
      </c>
      <c r="B12">
        <f>B4</f>
        <v>5</v>
      </c>
      <c r="C12">
        <f>C4</f>
        <v>6</v>
      </c>
      <c r="D12">
        <f t="shared" ref="D12:L12" si="3">D4</f>
        <v>7</v>
      </c>
      <c r="E12">
        <f t="shared" si="3"/>
        <v>8</v>
      </c>
      <c r="F12">
        <f t="shared" si="3"/>
        <v>9</v>
      </c>
      <c r="G12">
        <f t="shared" si="3"/>
        <v>10</v>
      </c>
      <c r="H12">
        <f t="shared" si="3"/>
        <v>11</v>
      </c>
      <c r="I12">
        <f t="shared" si="3"/>
        <v>12</v>
      </c>
      <c r="J12">
        <f t="shared" si="3"/>
        <v>13</v>
      </c>
      <c r="K12">
        <f t="shared" si="3"/>
        <v>14</v>
      </c>
      <c r="L12">
        <f t="shared" si="3"/>
        <v>15</v>
      </c>
    </row>
    <row r="13" spans="1:12" x14ac:dyDescent="0.3">
      <c r="A13" t="s">
        <v>28</v>
      </c>
      <c r="B13" s="1">
        <f>B6</f>
        <v>0.25</v>
      </c>
      <c r="C13" s="1">
        <f>C6</f>
        <v>0.25</v>
      </c>
      <c r="D13" s="1">
        <f t="shared" ref="D13:L13" si="4">D6</f>
        <v>0.25</v>
      </c>
      <c r="E13" s="1">
        <f t="shared" si="4"/>
        <v>0.25</v>
      </c>
      <c r="F13" s="1">
        <f t="shared" si="4"/>
        <v>0.25</v>
      </c>
      <c r="G13" s="1">
        <f t="shared" si="4"/>
        <v>0.25</v>
      </c>
      <c r="H13" s="1">
        <f t="shared" si="4"/>
        <v>0.25</v>
      </c>
      <c r="I13" s="1">
        <f t="shared" si="4"/>
        <v>0.25</v>
      </c>
      <c r="J13" s="1">
        <f t="shared" si="4"/>
        <v>0.25</v>
      </c>
      <c r="K13" s="1">
        <f t="shared" si="4"/>
        <v>0.25</v>
      </c>
      <c r="L13" s="1">
        <f t="shared" si="4"/>
        <v>0.25</v>
      </c>
    </row>
    <row r="14" spans="1:12" x14ac:dyDescent="0.3">
      <c r="A14" t="s">
        <v>29</v>
      </c>
      <c r="B14">
        <f>(LN(B9/B10)+(B11+B13^2/2)*B12)/(B13*SQRT(B12))</f>
        <v>0.76027387849400996</v>
      </c>
      <c r="C14">
        <f>(LN(C9/C10)+(C11+C13^2/2)*C12)/(C13*SQRT(C12))</f>
        <v>0.68283215302697298</v>
      </c>
      <c r="D14">
        <f t="shared" ref="D14:L14" si="5">(LN(D9/D10)+(D11+D13^2/2)*D12)/(D13*SQRT(D12))</f>
        <v>0.62090601232341691</v>
      </c>
      <c r="E14">
        <f t="shared" si="5"/>
        <v>0.56972753691007916</v>
      </c>
      <c r="F14">
        <f t="shared" si="5"/>
        <v>0.5263949400921395</v>
      </c>
      <c r="G14">
        <f t="shared" si="5"/>
        <v>0.48900761055534891</v>
      </c>
      <c r="H14">
        <f t="shared" si="5"/>
        <v>0.45626417838770278</v>
      </c>
      <c r="I14">
        <f t="shared" si="5"/>
        <v>0.42724088096754087</v>
      </c>
      <c r="J14">
        <f t="shared" si="5"/>
        <v>0.40124963805366981</v>
      </c>
      <c r="K14">
        <f t="shared" si="5"/>
        <v>0.37777849505989891</v>
      </c>
      <c r="L14">
        <f t="shared" si="5"/>
        <v>0.35642895369691707</v>
      </c>
    </row>
    <row r="15" spans="1:12" x14ac:dyDescent="0.3">
      <c r="A15" t="s">
        <v>30</v>
      </c>
      <c r="B15">
        <f>B14-B13*SQRT(B12)</f>
        <v>0.20125688411906251</v>
      </c>
      <c r="C15">
        <f>C14-C13*SQRT(C12)</f>
        <v>7.0459717331178506E-2</v>
      </c>
      <c r="D15">
        <f t="shared" ref="D15:L15" si="6">D14-D13*SQRT(D12)</f>
        <v>-4.0531815442730768E-2</v>
      </c>
      <c r="E15">
        <f t="shared" si="6"/>
        <v>-0.13737924427646842</v>
      </c>
      <c r="F15">
        <f t="shared" si="6"/>
        <v>-0.2236050599078605</v>
      </c>
      <c r="G15">
        <f t="shared" si="6"/>
        <v>-0.30156180448674597</v>
      </c>
      <c r="H15">
        <f t="shared" si="6"/>
        <v>-0.37289201920114717</v>
      </c>
      <c r="I15">
        <f t="shared" si="6"/>
        <v>-0.43878452281689773</v>
      </c>
      <c r="J15">
        <f t="shared" si="6"/>
        <v>-0.50013818081232753</v>
      </c>
      <c r="K15">
        <f t="shared" si="6"/>
        <v>-0.55763585163358642</v>
      </c>
      <c r="L15">
        <f t="shared" si="6"/>
        <v>-0.61181688285493718</v>
      </c>
    </row>
    <row r="17" spans="1:12" x14ac:dyDescent="0.3">
      <c r="A17" t="s">
        <v>31</v>
      </c>
      <c r="B17">
        <f>B9*NORMSDIST(B14)-B10*EXP(-B11*B12)*NORMSDIST(B15)</f>
        <v>1.0000005834265266</v>
      </c>
      <c r="C17">
        <f>C9*NORMSDIST(C14)-C10*EXP(-C11*C12)*NORMSDIST(C15)</f>
        <v>0.99999902134760443</v>
      </c>
      <c r="D17">
        <f t="shared" ref="D17:L17" si="7">D9*NORMSDIST(D14)-D10*EXP(-D11*D12)*NORMSDIST(D15)</f>
        <v>1.000000806488194</v>
      </c>
      <c r="E17">
        <f t="shared" si="7"/>
        <v>0.99999948435518826</v>
      </c>
      <c r="F17">
        <f t="shared" si="7"/>
        <v>1.0000003084479641</v>
      </c>
      <c r="G17">
        <f t="shared" si="7"/>
        <v>1.0000004982470958</v>
      </c>
      <c r="H17">
        <f t="shared" si="7"/>
        <v>0.99999949566481261</v>
      </c>
      <c r="I17">
        <f t="shared" si="7"/>
        <v>1.0000005615115763</v>
      </c>
      <c r="J17">
        <f t="shared" si="7"/>
        <v>0.99999923131510149</v>
      </c>
      <c r="K17">
        <f t="shared" si="7"/>
        <v>0.99999910035587491</v>
      </c>
      <c r="L17">
        <f t="shared" si="7"/>
        <v>1.0000004809567531</v>
      </c>
    </row>
    <row r="18" spans="1:12" x14ac:dyDescent="0.3">
      <c r="A18" t="s">
        <v>32</v>
      </c>
      <c r="B18">
        <f>B10*EXP(-B11*B12)*NORMSDIST(-B15)-B9*NORMSDIST(-B14)</f>
        <v>0.29298972915799815</v>
      </c>
      <c r="C18">
        <f>C10*EXP(-C11*C12)*NORMSDIST(-C15)-C9*NORMSDIST(-C14)</f>
        <v>0.38205673555924924</v>
      </c>
      <c r="D18">
        <f t="shared" ref="D18:L18" si="8">D10*EXP(-D11*D12)*NORMSDIST(-D15)-D9*NORMSDIST(-D14)</f>
        <v>0.4760681788884471</v>
      </c>
      <c r="E18">
        <f t="shared" si="8"/>
        <v>0.57475371175445444</v>
      </c>
      <c r="F18">
        <f t="shared" si="8"/>
        <v>0.67798915816298255</v>
      </c>
      <c r="G18">
        <f t="shared" si="8"/>
        <v>0.78575242346623897</v>
      </c>
      <c r="H18">
        <f t="shared" si="8"/>
        <v>0.89807824560056593</v>
      </c>
      <c r="I18">
        <f t="shared" si="8"/>
        <v>1.0150337328320709</v>
      </c>
      <c r="J18">
        <f t="shared" si="8"/>
        <v>1.1367289069488111</v>
      </c>
      <c r="K18">
        <f t="shared" si="8"/>
        <v>1.263279230832917</v>
      </c>
      <c r="L18">
        <f t="shared" si="8"/>
        <v>1.394822849744985</v>
      </c>
    </row>
    <row r="20" spans="1:12" x14ac:dyDescent="0.3">
      <c r="A20" t="s">
        <v>33</v>
      </c>
      <c r="B20">
        <f>B10*EXP(-B5*B4)-B18</f>
        <v>1.9999994165734731</v>
      </c>
      <c r="C20">
        <f>C10*EXP(-C5*C4)-C18</f>
        <v>2.0000009786523956</v>
      </c>
      <c r="D20">
        <f t="shared" ref="D20:L20" si="9">D10*EXP(-D5*D4)-D18</f>
        <v>1.9999991935118062</v>
      </c>
      <c r="E20">
        <f t="shared" si="9"/>
        <v>2.0000005156448117</v>
      </c>
      <c r="F20">
        <f t="shared" si="9"/>
        <v>1.9999996915520359</v>
      </c>
      <c r="G20">
        <f t="shared" si="9"/>
        <v>1.999999501752904</v>
      </c>
      <c r="H20">
        <f t="shared" si="9"/>
        <v>2.0000005043351874</v>
      </c>
      <c r="I20">
        <f t="shared" si="9"/>
        <v>1.9999994384884232</v>
      </c>
      <c r="J20">
        <f t="shared" si="9"/>
        <v>2.0000007686848988</v>
      </c>
      <c r="K20">
        <f t="shared" si="9"/>
        <v>2.000000899644125</v>
      </c>
      <c r="L20">
        <f t="shared" si="9"/>
        <v>1.9999995190432469</v>
      </c>
    </row>
    <row r="23" spans="1:12" x14ac:dyDescent="0.3">
      <c r="A23" t="s">
        <v>34</v>
      </c>
      <c r="B23">
        <f>LN(B10/B2)/B4</f>
        <v>7.7341817930131784E-2</v>
      </c>
      <c r="C23">
        <f>LN(C10/C2)/C4</f>
        <v>7.9136253231272255E-2</v>
      </c>
      <c r="D23">
        <f t="shared" ref="D23:L23" si="10">LN(D10/D2)/D4</f>
        <v>8.0503483438574636E-2</v>
      </c>
      <c r="E23">
        <f t="shared" si="10"/>
        <v>8.1575862916292305E-2</v>
      </c>
      <c r="F23">
        <f t="shared" si="10"/>
        <v>8.2435433671006642E-2</v>
      </c>
      <c r="G23">
        <f t="shared" si="10"/>
        <v>8.3137064748028955E-2</v>
      </c>
      <c r="H23">
        <f t="shared" si="10"/>
        <v>8.3718257896383291E-2</v>
      </c>
      <c r="I23">
        <f t="shared" si="10"/>
        <v>8.4205304304585879E-2</v>
      </c>
      <c r="J23">
        <f t="shared" si="10"/>
        <v>8.4617967080168929E-2</v>
      </c>
      <c r="K23">
        <f t="shared" si="10"/>
        <v>8.4970405996918644E-2</v>
      </c>
      <c r="L23">
        <f t="shared" si="10"/>
        <v>8.5273617177639385E-2</v>
      </c>
    </row>
    <row r="24" spans="1:12" x14ac:dyDescent="0.3">
      <c r="A24" t="s">
        <v>37</v>
      </c>
      <c r="B24">
        <v>9.7341882179454928E-2</v>
      </c>
      <c r="C24">
        <v>9.9136142361137672E-2</v>
      </c>
      <c r="D24">
        <v>0.10050361430630764</v>
      </c>
      <c r="E24">
        <v>0.10157587062414865</v>
      </c>
      <c r="F24">
        <v>0.1024354946646657</v>
      </c>
      <c r="G24">
        <v>0.10313713279419871</v>
      </c>
      <c r="H24">
        <v>0.10371822765492243</v>
      </c>
      <c r="I24">
        <v>0.10420538360502533</v>
      </c>
      <c r="J24">
        <v>0.10461793803297</v>
      </c>
      <c r="K24">
        <v>0.10497036806990515</v>
      </c>
      <c r="L24">
        <v>0.10527369566192145</v>
      </c>
    </row>
    <row r="25" spans="1:12" x14ac:dyDescent="0.3">
      <c r="A25" t="s">
        <v>38</v>
      </c>
      <c r="B25">
        <f>B24-B23</f>
        <v>2.0000064249323143E-2</v>
      </c>
      <c r="C25">
        <f t="shared" ref="C25:L25" si="11">C24-C23</f>
        <v>1.9999889129865417E-2</v>
      </c>
      <c r="D25">
        <f t="shared" si="11"/>
        <v>2.0000130867733001E-2</v>
      </c>
      <c r="E25">
        <f t="shared" si="11"/>
        <v>2.0000007707856343E-2</v>
      </c>
      <c r="F25">
        <f t="shared" si="11"/>
        <v>2.0000060993659058E-2</v>
      </c>
      <c r="G25">
        <f t="shared" si="11"/>
        <v>2.0000068046169758E-2</v>
      </c>
      <c r="H25">
        <f t="shared" si="11"/>
        <v>1.9999969758539141E-2</v>
      </c>
      <c r="I25">
        <f t="shared" si="11"/>
        <v>2.0000079300439455E-2</v>
      </c>
      <c r="J25">
        <f t="shared" si="11"/>
        <v>1.9999970952801066E-2</v>
      </c>
      <c r="K25">
        <f t="shared" si="11"/>
        <v>1.9999962072986502E-2</v>
      </c>
      <c r="L25">
        <f t="shared" si="11"/>
        <v>2.0000078484282063E-2</v>
      </c>
    </row>
  </sheetData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L23"/>
  <sheetViews>
    <sheetView workbookViewId="0">
      <selection activeCell="B23" sqref="B23:L23"/>
    </sheetView>
  </sheetViews>
  <sheetFormatPr defaultRowHeight="12.45" x14ac:dyDescent="0.3"/>
  <cols>
    <col min="1" max="1" width="17.53515625" customWidth="1"/>
  </cols>
  <sheetData>
    <row r="1" spans="1:12" x14ac:dyDescent="0.3">
      <c r="A1" t="s">
        <v>19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>
        <v>1</v>
      </c>
      <c r="I1">
        <v>1</v>
      </c>
      <c r="J1">
        <v>1</v>
      </c>
      <c r="K1">
        <v>1</v>
      </c>
      <c r="L1">
        <v>1</v>
      </c>
    </row>
    <row r="2" spans="1:12" x14ac:dyDescent="0.3">
      <c r="A2" t="s">
        <v>21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H2">
        <v>2</v>
      </c>
      <c r="I2">
        <v>2</v>
      </c>
      <c r="J2">
        <v>2</v>
      </c>
      <c r="K2">
        <v>2</v>
      </c>
      <c r="L2">
        <v>2</v>
      </c>
    </row>
    <row r="3" spans="1:12" x14ac:dyDescent="0.3">
      <c r="A3" t="s">
        <v>22</v>
      </c>
      <c r="B3">
        <f>B1+B2</f>
        <v>3</v>
      </c>
      <c r="C3">
        <f>C1+C2</f>
        <v>3</v>
      </c>
      <c r="D3">
        <f t="shared" ref="D3:L3" si="0">D1+D2</f>
        <v>3</v>
      </c>
      <c r="E3">
        <f t="shared" si="0"/>
        <v>3</v>
      </c>
      <c r="F3">
        <f t="shared" si="0"/>
        <v>3</v>
      </c>
      <c r="G3">
        <f t="shared" si="0"/>
        <v>3</v>
      </c>
      <c r="H3">
        <f t="shared" si="0"/>
        <v>3</v>
      </c>
      <c r="I3">
        <f t="shared" si="0"/>
        <v>3</v>
      </c>
      <c r="J3">
        <f t="shared" si="0"/>
        <v>3</v>
      </c>
      <c r="K3">
        <f t="shared" si="0"/>
        <v>3</v>
      </c>
      <c r="L3">
        <f t="shared" si="0"/>
        <v>3</v>
      </c>
    </row>
    <row r="4" spans="1:12" x14ac:dyDescent="0.3">
      <c r="A4" t="s">
        <v>23</v>
      </c>
      <c r="B4">
        <v>5</v>
      </c>
      <c r="C4">
        <v>6</v>
      </c>
      <c r="D4">
        <v>7</v>
      </c>
      <c r="E4">
        <v>8</v>
      </c>
      <c r="F4">
        <v>9</v>
      </c>
      <c r="G4">
        <v>10</v>
      </c>
      <c r="H4">
        <v>11</v>
      </c>
      <c r="I4">
        <v>12</v>
      </c>
      <c r="J4">
        <v>13</v>
      </c>
      <c r="K4">
        <v>14</v>
      </c>
      <c r="L4">
        <v>15</v>
      </c>
    </row>
    <row r="5" spans="1:12" x14ac:dyDescent="0.3">
      <c r="A5" t="s">
        <v>25</v>
      </c>
      <c r="B5" s="1">
        <v>7.0000000000000007E-2</v>
      </c>
      <c r="C5" s="1">
        <v>7.0000000000000007E-2</v>
      </c>
      <c r="D5" s="1">
        <v>7.0000000000000007E-2</v>
      </c>
      <c r="E5" s="1">
        <v>7.0000000000000007E-2</v>
      </c>
      <c r="F5" s="1">
        <v>7.0000000000000007E-2</v>
      </c>
      <c r="G5" s="1">
        <v>7.0000000000000007E-2</v>
      </c>
      <c r="H5" s="1">
        <v>7.0000000000000007E-2</v>
      </c>
      <c r="I5" s="1">
        <v>7.0000000000000007E-2</v>
      </c>
      <c r="J5" s="1">
        <v>7.0000000000000007E-2</v>
      </c>
      <c r="K5" s="1">
        <v>7.0000000000000007E-2</v>
      </c>
      <c r="L5" s="1">
        <v>7.0000000000000007E-2</v>
      </c>
    </row>
    <row r="6" spans="1:12" x14ac:dyDescent="0.3">
      <c r="A6" t="s">
        <v>26</v>
      </c>
      <c r="B6" s="1">
        <v>0.25</v>
      </c>
      <c r="C6" s="1">
        <v>0.25</v>
      </c>
      <c r="D6" s="1">
        <v>0.25</v>
      </c>
      <c r="E6" s="1">
        <v>0.25</v>
      </c>
      <c r="F6" s="1">
        <v>0.25</v>
      </c>
      <c r="G6" s="1">
        <v>0.25</v>
      </c>
      <c r="H6" s="1">
        <v>0.25</v>
      </c>
      <c r="I6" s="1">
        <v>0.25</v>
      </c>
      <c r="J6" s="1">
        <v>0.25</v>
      </c>
      <c r="K6" s="1">
        <v>0.25</v>
      </c>
      <c r="L6" s="1">
        <v>0.25</v>
      </c>
    </row>
    <row r="9" spans="1:12" x14ac:dyDescent="0.3">
      <c r="A9" t="s">
        <v>0</v>
      </c>
      <c r="B9">
        <f>B3</f>
        <v>3</v>
      </c>
      <c r="C9">
        <f>C3</f>
        <v>3</v>
      </c>
      <c r="D9">
        <f t="shared" ref="D9:L9" si="1">D3</f>
        <v>3</v>
      </c>
      <c r="E9">
        <f t="shared" si="1"/>
        <v>3</v>
      </c>
      <c r="F9">
        <f t="shared" si="1"/>
        <v>3</v>
      </c>
      <c r="G9">
        <f t="shared" si="1"/>
        <v>3</v>
      </c>
      <c r="H9">
        <f t="shared" si="1"/>
        <v>3</v>
      </c>
      <c r="I9">
        <f t="shared" si="1"/>
        <v>3</v>
      </c>
      <c r="J9">
        <f t="shared" si="1"/>
        <v>3</v>
      </c>
      <c r="K9">
        <f t="shared" si="1"/>
        <v>3</v>
      </c>
      <c r="L9">
        <f t="shared" si="1"/>
        <v>3</v>
      </c>
    </row>
    <row r="10" spans="1:12" x14ac:dyDescent="0.3">
      <c r="A10" t="s">
        <v>1</v>
      </c>
      <c r="B10">
        <v>3.2539075312907202</v>
      </c>
      <c r="C10">
        <v>3.6253978526040331</v>
      </c>
      <c r="D10">
        <v>4.0417286361925813</v>
      </c>
      <c r="E10">
        <v>4.5075516988775082</v>
      </c>
      <c r="F10">
        <v>5.0282229555835594</v>
      </c>
      <c r="G10">
        <v>5.6098192990170057</v>
      </c>
      <c r="H10">
        <v>6.2591706027709746</v>
      </c>
      <c r="I10">
        <v>6.9839299178877372</v>
      </c>
      <c r="J10">
        <v>7.792645271704389</v>
      </c>
      <c r="K10">
        <v>8.6948624960302308</v>
      </c>
      <c r="L10">
        <v>9.7012293586971268</v>
      </c>
    </row>
    <row r="11" spans="1:12" x14ac:dyDescent="0.3">
      <c r="A11" t="s">
        <v>27</v>
      </c>
      <c r="B11" s="1">
        <f>B5</f>
        <v>7.0000000000000007E-2</v>
      </c>
      <c r="C11" s="1">
        <f>C5</f>
        <v>7.0000000000000007E-2</v>
      </c>
      <c r="D11" s="1">
        <f t="shared" ref="D11:L11" si="2">D5</f>
        <v>7.0000000000000007E-2</v>
      </c>
      <c r="E11" s="1">
        <f t="shared" si="2"/>
        <v>7.0000000000000007E-2</v>
      </c>
      <c r="F11" s="1">
        <f t="shared" si="2"/>
        <v>7.0000000000000007E-2</v>
      </c>
      <c r="G11" s="1">
        <f t="shared" si="2"/>
        <v>7.0000000000000007E-2</v>
      </c>
      <c r="H11" s="1">
        <f t="shared" si="2"/>
        <v>7.0000000000000007E-2</v>
      </c>
      <c r="I11" s="1">
        <f t="shared" si="2"/>
        <v>7.0000000000000007E-2</v>
      </c>
      <c r="J11" s="1">
        <f t="shared" si="2"/>
        <v>7.0000000000000007E-2</v>
      </c>
      <c r="K11" s="1">
        <f t="shared" si="2"/>
        <v>7.0000000000000007E-2</v>
      </c>
      <c r="L11" s="1">
        <f t="shared" si="2"/>
        <v>7.0000000000000007E-2</v>
      </c>
    </row>
    <row r="12" spans="1:12" x14ac:dyDescent="0.3">
      <c r="A12" t="s">
        <v>2</v>
      </c>
      <c r="B12">
        <f>B4</f>
        <v>5</v>
      </c>
      <c r="C12">
        <f>C4</f>
        <v>6</v>
      </c>
      <c r="D12">
        <f t="shared" ref="D12:L12" si="3">D4</f>
        <v>7</v>
      </c>
      <c r="E12">
        <f t="shared" si="3"/>
        <v>8</v>
      </c>
      <c r="F12">
        <f t="shared" si="3"/>
        <v>9</v>
      </c>
      <c r="G12">
        <f t="shared" si="3"/>
        <v>10</v>
      </c>
      <c r="H12">
        <f t="shared" si="3"/>
        <v>11</v>
      </c>
      <c r="I12">
        <f t="shared" si="3"/>
        <v>12</v>
      </c>
      <c r="J12">
        <f t="shared" si="3"/>
        <v>13</v>
      </c>
      <c r="K12">
        <f t="shared" si="3"/>
        <v>14</v>
      </c>
      <c r="L12">
        <f t="shared" si="3"/>
        <v>15</v>
      </c>
    </row>
    <row r="13" spans="1:12" x14ac:dyDescent="0.3">
      <c r="A13" t="s">
        <v>28</v>
      </c>
      <c r="B13" s="1">
        <f>B6</f>
        <v>0.25</v>
      </c>
      <c r="C13" s="1">
        <f>C6</f>
        <v>0.25</v>
      </c>
      <c r="D13" s="1">
        <f t="shared" ref="D13:L13" si="4">D6</f>
        <v>0.25</v>
      </c>
      <c r="E13" s="1">
        <f t="shared" si="4"/>
        <v>0.25</v>
      </c>
      <c r="F13" s="1">
        <f t="shared" si="4"/>
        <v>0.25</v>
      </c>
      <c r="G13" s="1">
        <f t="shared" si="4"/>
        <v>0.25</v>
      </c>
      <c r="H13" s="1">
        <f t="shared" si="4"/>
        <v>0.25</v>
      </c>
      <c r="I13" s="1">
        <f t="shared" si="4"/>
        <v>0.25</v>
      </c>
      <c r="J13" s="1">
        <f t="shared" si="4"/>
        <v>0.25</v>
      </c>
      <c r="K13" s="1">
        <f t="shared" si="4"/>
        <v>0.25</v>
      </c>
      <c r="L13" s="1">
        <f t="shared" si="4"/>
        <v>0.25</v>
      </c>
    </row>
    <row r="14" spans="1:12" x14ac:dyDescent="0.3">
      <c r="A14" t="s">
        <v>29</v>
      </c>
      <c r="B14">
        <f>(LN(B9/B10)+(B11+B13^2/2)*B12)/(B13*SQRT(B12))</f>
        <v>0.76027330383059399</v>
      </c>
      <c r="C14">
        <f>(LN(C9/C10)+(C11+C13^2/2)*C12)/(C13*SQRT(C12))</f>
        <v>0.68283323932800266</v>
      </c>
      <c r="D14">
        <f t="shared" ref="D14:L14" si="5">(LN(D9/D10)+(D11+D13^2/2)*D12)/(D13*SQRT(D12))</f>
        <v>0.62090462734951246</v>
      </c>
      <c r="E14">
        <f t="shared" si="5"/>
        <v>0.56972744970563938</v>
      </c>
      <c r="F14">
        <f t="shared" si="5"/>
        <v>0.5263942081682309</v>
      </c>
      <c r="G14">
        <f t="shared" si="5"/>
        <v>0.48900674983181913</v>
      </c>
      <c r="H14">
        <f t="shared" si="5"/>
        <v>0.4562645795860179</v>
      </c>
      <c r="I14">
        <f t="shared" si="5"/>
        <v>0.42723978214841957</v>
      </c>
      <c r="J14">
        <f t="shared" si="5"/>
        <v>0.40125005697833077</v>
      </c>
      <c r="K14">
        <f t="shared" si="5"/>
        <v>0.37777906269945966</v>
      </c>
      <c r="L14">
        <f t="shared" si="5"/>
        <v>0.35642773782364756</v>
      </c>
    </row>
    <row r="15" spans="1:12" x14ac:dyDescent="0.3">
      <c r="A15" t="s">
        <v>30</v>
      </c>
      <c r="B15">
        <f>B14-B13*SQRT(B12)</f>
        <v>0.20125630945564654</v>
      </c>
      <c r="C15">
        <f>C14-C13*SQRT(C12)</f>
        <v>7.0460803632208191E-2</v>
      </c>
      <c r="D15">
        <f t="shared" ref="D15:L15" si="6">D14-D13*SQRT(D12)</f>
        <v>-4.0533200416635218E-2</v>
      </c>
      <c r="E15">
        <f t="shared" si="6"/>
        <v>-0.1373793314809082</v>
      </c>
      <c r="F15">
        <f t="shared" si="6"/>
        <v>-0.2236057918317691</v>
      </c>
      <c r="G15">
        <f t="shared" si="6"/>
        <v>-0.30156266521027575</v>
      </c>
      <c r="H15">
        <f t="shared" si="6"/>
        <v>-0.37289161800283205</v>
      </c>
      <c r="I15">
        <f t="shared" si="6"/>
        <v>-0.43878562163601903</v>
      </c>
      <c r="J15">
        <f t="shared" si="6"/>
        <v>-0.50013776188766657</v>
      </c>
      <c r="K15">
        <f t="shared" si="6"/>
        <v>-0.55763528399402573</v>
      </c>
      <c r="L15">
        <f t="shared" si="6"/>
        <v>-0.61181809872820669</v>
      </c>
    </row>
    <row r="17" spans="1:12" x14ac:dyDescent="0.3">
      <c r="A17" t="s">
        <v>31</v>
      </c>
      <c r="B17">
        <f>B9*NORMSDIST(B14)-B10*EXP(-B11*B12)*NORMSDIST(B15)</f>
        <v>1.0000001563731513</v>
      </c>
      <c r="C17">
        <f>C9*NORMSDIST(C14)-C10*EXP(-C11*C12)*NORMSDIST(C15)</f>
        <v>0.99999985814995251</v>
      </c>
      <c r="D17">
        <f t="shared" ref="D17:L17" si="7">D9*NORMSDIST(D14)-D10*EXP(-D11*D12)*NORMSDIST(D15)</f>
        <v>0.99999970902509983</v>
      </c>
      <c r="E17">
        <f t="shared" si="7"/>
        <v>0.99999941364598199</v>
      </c>
      <c r="F17">
        <f t="shared" si="7"/>
        <v>0.99999970346956024</v>
      </c>
      <c r="G17">
        <f t="shared" si="7"/>
        <v>0.99999977508986815</v>
      </c>
      <c r="H17">
        <f t="shared" si="7"/>
        <v>0.99999983753562782</v>
      </c>
      <c r="I17">
        <f t="shared" si="7"/>
        <v>0.99999961352860733</v>
      </c>
      <c r="J17">
        <f t="shared" si="7"/>
        <v>0.99999959671149485</v>
      </c>
      <c r="K17">
        <f t="shared" si="7"/>
        <v>0.99999960032931323</v>
      </c>
      <c r="L17">
        <f t="shared" si="7"/>
        <v>0.99999940055740821</v>
      </c>
    </row>
    <row r="18" spans="1:12" x14ac:dyDescent="0.3">
      <c r="A18" t="s">
        <v>32</v>
      </c>
      <c r="B18">
        <f>B10*EXP(-B11*B12)*NORMSDIST(-B15)-B9*NORMSDIST(-B14)</f>
        <v>0.2929900387197435</v>
      </c>
      <c r="C18">
        <f>C10*EXP(-C11*C12)*NORMSDIST(-C15)-C9*NORMSDIST(-C14)</f>
        <v>0.38205598776776828</v>
      </c>
      <c r="D18">
        <f t="shared" ref="D18:L18" si="8">D10*EXP(-D11*D12)*NORMSDIST(-D15)-D9*NORMSDIST(-D14)</f>
        <v>0.47606934968765835</v>
      </c>
      <c r="E18">
        <f t="shared" si="8"/>
        <v>0.5747537998119383</v>
      </c>
      <c r="F18">
        <f t="shared" si="8"/>
        <v>0.67799002324803159</v>
      </c>
      <c r="G18">
        <f t="shared" si="8"/>
        <v>0.78575359590713956</v>
      </c>
      <c r="H18">
        <f t="shared" si="8"/>
        <v>0.89807762340805553</v>
      </c>
      <c r="I18">
        <f t="shared" si="8"/>
        <v>1.0150356539719319</v>
      </c>
      <c r="J18">
        <f t="shared" si="8"/>
        <v>1.1367280878736858</v>
      </c>
      <c r="K18">
        <f t="shared" si="8"/>
        <v>1.2632779980762414</v>
      </c>
      <c r="L18">
        <f t="shared" si="8"/>
        <v>1.3948257659509378</v>
      </c>
    </row>
    <row r="20" spans="1:12" x14ac:dyDescent="0.3">
      <c r="A20" t="s">
        <v>33</v>
      </c>
      <c r="B20">
        <f>B10*EXP(-B5*B4)-B18</f>
        <v>1.9999998436268487</v>
      </c>
      <c r="C20">
        <f>C10*EXP(-C5*C4)-C18</f>
        <v>2.0000001418500477</v>
      </c>
      <c r="D20">
        <f t="shared" ref="D20:L20" si="9">D10*EXP(-D5*D4)-D18</f>
        <v>2.0000002909749002</v>
      </c>
      <c r="E20">
        <f t="shared" si="9"/>
        <v>2.0000005863540182</v>
      </c>
      <c r="F20">
        <f t="shared" si="9"/>
        <v>2.0000002965304402</v>
      </c>
      <c r="G20">
        <f t="shared" si="9"/>
        <v>2.0000002249101323</v>
      </c>
      <c r="H20">
        <f t="shared" si="9"/>
        <v>2.0000001624643722</v>
      </c>
      <c r="I20">
        <f t="shared" si="9"/>
        <v>2.0000003864713927</v>
      </c>
      <c r="J20">
        <f t="shared" si="9"/>
        <v>2.0000004032885053</v>
      </c>
      <c r="K20">
        <f t="shared" si="9"/>
        <v>2.0000003996706868</v>
      </c>
      <c r="L20">
        <f t="shared" si="9"/>
        <v>2.0000005994425916</v>
      </c>
    </row>
    <row r="23" spans="1:12" x14ac:dyDescent="0.3">
      <c r="A23" t="s">
        <v>34</v>
      </c>
      <c r="B23">
        <f>LN(B10/B2)/B4</f>
        <v>9.7341882179454928E-2</v>
      </c>
      <c r="C23">
        <f>LN(C10/C2)/C4</f>
        <v>9.9136142361137672E-2</v>
      </c>
      <c r="D23">
        <f t="shared" ref="D23:L23" si="10">LN(D10/D2)/D4</f>
        <v>0.10050361430630764</v>
      </c>
      <c r="E23">
        <f t="shared" si="10"/>
        <v>0.10157587062414865</v>
      </c>
      <c r="F23">
        <f t="shared" si="10"/>
        <v>0.1024354946646657</v>
      </c>
      <c r="G23">
        <f t="shared" si="10"/>
        <v>0.10313713279419871</v>
      </c>
      <c r="H23">
        <f t="shared" si="10"/>
        <v>0.10371822765492243</v>
      </c>
      <c r="I23">
        <f t="shared" si="10"/>
        <v>0.10420538360502533</v>
      </c>
      <c r="J23">
        <f t="shared" si="10"/>
        <v>0.10461793803297</v>
      </c>
      <c r="K23">
        <f t="shared" si="10"/>
        <v>0.10497036806990515</v>
      </c>
      <c r="L23">
        <f t="shared" si="10"/>
        <v>0.10527369566192145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K34"/>
  <sheetViews>
    <sheetView topLeftCell="A16" workbookViewId="0">
      <selection activeCell="A26" sqref="A26:B34"/>
    </sheetView>
  </sheetViews>
  <sheetFormatPr defaultRowHeight="12.45" x14ac:dyDescent="0.3"/>
  <cols>
    <col min="1" max="1" width="15.23046875" customWidth="1"/>
    <col min="5" max="5" width="17" customWidth="1"/>
    <col min="9" max="9" width="15.23046875" customWidth="1"/>
  </cols>
  <sheetData>
    <row r="1" spans="1:11" x14ac:dyDescent="0.3">
      <c r="A1" t="s">
        <v>19</v>
      </c>
      <c r="B1">
        <v>1</v>
      </c>
      <c r="C1" t="s">
        <v>20</v>
      </c>
      <c r="E1" t="s">
        <v>19</v>
      </c>
      <c r="F1">
        <v>1</v>
      </c>
      <c r="G1" t="s">
        <v>20</v>
      </c>
      <c r="I1" t="s">
        <v>19</v>
      </c>
      <c r="J1">
        <v>1</v>
      </c>
      <c r="K1" t="s">
        <v>20</v>
      </c>
    </row>
    <row r="2" spans="1:11" x14ac:dyDescent="0.3">
      <c r="A2" t="s">
        <v>21</v>
      </c>
      <c r="B2">
        <v>2</v>
      </c>
      <c r="C2" t="s">
        <v>20</v>
      </c>
      <c r="E2" t="s">
        <v>21</v>
      </c>
      <c r="F2">
        <v>2</v>
      </c>
      <c r="G2" t="s">
        <v>20</v>
      </c>
      <c r="I2" t="s">
        <v>21</v>
      </c>
      <c r="J2">
        <v>2</v>
      </c>
      <c r="K2" t="s">
        <v>20</v>
      </c>
    </row>
    <row r="3" spans="1:11" x14ac:dyDescent="0.3">
      <c r="A3" t="s">
        <v>22</v>
      </c>
      <c r="B3">
        <f>B1+B2</f>
        <v>3</v>
      </c>
      <c r="C3" t="s">
        <v>20</v>
      </c>
      <c r="E3" t="s">
        <v>22</v>
      </c>
      <c r="F3">
        <f>F1+F2</f>
        <v>3</v>
      </c>
      <c r="G3" t="s">
        <v>20</v>
      </c>
      <c r="I3" t="s">
        <v>22</v>
      </c>
      <c r="J3">
        <f>J1+J2</f>
        <v>3</v>
      </c>
      <c r="K3" t="s">
        <v>20</v>
      </c>
    </row>
    <row r="4" spans="1:11" x14ac:dyDescent="0.3">
      <c r="A4" t="s">
        <v>23</v>
      </c>
      <c r="B4">
        <v>5</v>
      </c>
      <c r="C4" t="s">
        <v>24</v>
      </c>
      <c r="E4" t="s">
        <v>23</v>
      </c>
      <c r="F4">
        <v>5</v>
      </c>
      <c r="G4" t="s">
        <v>24</v>
      </c>
      <c r="I4" t="s">
        <v>23</v>
      </c>
      <c r="J4">
        <v>5</v>
      </c>
      <c r="K4" t="s">
        <v>24</v>
      </c>
    </row>
    <row r="5" spans="1:11" x14ac:dyDescent="0.3">
      <c r="A5" t="s">
        <v>25</v>
      </c>
      <c r="B5" s="1">
        <v>7.0000000000000007E-2</v>
      </c>
      <c r="E5" t="s">
        <v>25</v>
      </c>
      <c r="F5" s="1">
        <v>7.0000000000000007E-2</v>
      </c>
      <c r="I5" t="s">
        <v>25</v>
      </c>
      <c r="J5" s="1">
        <v>7.0000000000000007E-2</v>
      </c>
    </row>
    <row r="6" spans="1:11" x14ac:dyDescent="0.3">
      <c r="A6" t="s">
        <v>26</v>
      </c>
      <c r="B6" s="1">
        <v>0.25</v>
      </c>
      <c r="E6" t="s">
        <v>26</v>
      </c>
      <c r="F6" s="1">
        <v>0.35</v>
      </c>
      <c r="I6" t="s">
        <v>26</v>
      </c>
      <c r="J6" s="1">
        <v>0.45</v>
      </c>
    </row>
    <row r="9" spans="1:11" x14ac:dyDescent="0.3">
      <c r="A9" t="s">
        <v>0</v>
      </c>
      <c r="B9">
        <f>B3</f>
        <v>3</v>
      </c>
      <c r="E9" t="s">
        <v>0</v>
      </c>
      <c r="F9">
        <f>F3</f>
        <v>3</v>
      </c>
      <c r="I9" t="s">
        <v>0</v>
      </c>
      <c r="J9">
        <f>J3</f>
        <v>3</v>
      </c>
    </row>
    <row r="10" spans="1:11" x14ac:dyDescent="0.3">
      <c r="A10" t="s">
        <v>1</v>
      </c>
      <c r="B10">
        <v>3.2539075312907202</v>
      </c>
      <c r="E10" t="s">
        <v>1</v>
      </c>
      <c r="F10">
        <v>3.9220745900216345</v>
      </c>
      <c r="I10" t="s">
        <v>1</v>
      </c>
      <c r="J10">
        <v>5.0511690654674899</v>
      </c>
    </row>
    <row r="11" spans="1:11" x14ac:dyDescent="0.3">
      <c r="A11" t="s">
        <v>27</v>
      </c>
      <c r="B11" s="1">
        <f>B5</f>
        <v>7.0000000000000007E-2</v>
      </c>
      <c r="E11" t="s">
        <v>27</v>
      </c>
      <c r="F11" s="1">
        <f>F5</f>
        <v>7.0000000000000007E-2</v>
      </c>
      <c r="I11" t="s">
        <v>27</v>
      </c>
      <c r="J11" s="1">
        <f>J5</f>
        <v>7.0000000000000007E-2</v>
      </c>
    </row>
    <row r="12" spans="1:11" x14ac:dyDescent="0.3">
      <c r="A12" t="s">
        <v>2</v>
      </c>
      <c r="B12">
        <f>B4</f>
        <v>5</v>
      </c>
      <c r="E12" t="s">
        <v>2</v>
      </c>
      <c r="F12">
        <f>F4</f>
        <v>5</v>
      </c>
      <c r="I12" t="s">
        <v>2</v>
      </c>
      <c r="J12">
        <f>J4</f>
        <v>5</v>
      </c>
    </row>
    <row r="13" spans="1:11" x14ac:dyDescent="0.3">
      <c r="A13" t="s">
        <v>28</v>
      </c>
      <c r="B13" s="1">
        <f>B6</f>
        <v>0.25</v>
      </c>
      <c r="E13" t="s">
        <v>28</v>
      </c>
      <c r="F13" s="1">
        <f>F6</f>
        <v>0.35</v>
      </c>
      <c r="I13" t="s">
        <v>28</v>
      </c>
      <c r="J13" s="1">
        <f>J6</f>
        <v>0.45</v>
      </c>
    </row>
    <row r="14" spans="1:11" x14ac:dyDescent="0.3">
      <c r="A14" t="s">
        <v>29</v>
      </c>
      <c r="B14">
        <f>(LN(B9/B10)+(B11+B13^2/2)*B12)/(B13*SQRT(B12))</f>
        <v>0.76027330383059399</v>
      </c>
      <c r="E14" t="s">
        <v>29</v>
      </c>
      <c r="F14">
        <f>(LN(F9/F10)+(F11+F13^2/2)*F12)/(F13*SQRT(F12))</f>
        <v>0.4960768463953521</v>
      </c>
      <c r="I14" t="s">
        <v>29</v>
      </c>
      <c r="J14">
        <f>(LN(J9/J10)+(J11+J13^2/2)*J12)/(J13*SQRT(J12))</f>
        <v>0.33316674868898366</v>
      </c>
    </row>
    <row r="15" spans="1:11" x14ac:dyDescent="0.3">
      <c r="A15" t="s">
        <v>30</v>
      </c>
      <c r="B15">
        <f>B14-B13*SQRT(B12)</f>
        <v>0.20125630945564654</v>
      </c>
      <c r="E15" t="s">
        <v>30</v>
      </c>
      <c r="F15">
        <f>F14-F13*SQRT(F12)</f>
        <v>-0.28654694572957429</v>
      </c>
      <c r="I15" t="s">
        <v>30</v>
      </c>
      <c r="J15">
        <f>J14-J13*SQRT(J12)</f>
        <v>-0.67306384118592189</v>
      </c>
    </row>
    <row r="17" spans="1:10" x14ac:dyDescent="0.3">
      <c r="A17" t="s">
        <v>31</v>
      </c>
      <c r="B17">
        <f>B9*NORMSDIST(B14)-B10*EXP(-B11*B12)*NORMSDIST(B15)</f>
        <v>1.0000001563731513</v>
      </c>
      <c r="E17" t="s">
        <v>31</v>
      </c>
      <c r="F17">
        <f>F9*NORMSDIST(F14)-F10*EXP(-F11*F12)*NORMSDIST(F15)</f>
        <v>0.99999928238208868</v>
      </c>
      <c r="I17" t="s">
        <v>31</v>
      </c>
      <c r="J17">
        <f>J9*NORMSDIST(J14)-J10*EXP(-J11*J12)*NORMSDIST(J15)</f>
        <v>0.99999904852024257</v>
      </c>
    </row>
    <row r="18" spans="1:10" x14ac:dyDescent="0.3">
      <c r="A18" t="s">
        <v>32</v>
      </c>
      <c r="B18">
        <f>B10*EXP(-B11*B12)*NORMSDIST(-B15)-B9*NORMSDIST(-B14)</f>
        <v>0.2929900387197435</v>
      </c>
      <c r="E18" t="s">
        <v>32</v>
      </c>
      <c r="F18">
        <f>F10*EXP(-F11*F12)*NORMSDIST(-F15)-F9*NORMSDIST(-F14)</f>
        <v>0.76383853295874093</v>
      </c>
      <c r="I18" t="s">
        <v>32</v>
      </c>
      <c r="J18">
        <f>J10*EXP(-J11*J12)*NORMSDIST(-J15)-J9*NORMSDIST(-J14)</f>
        <v>1.5594977281107871</v>
      </c>
    </row>
    <row r="20" spans="1:10" x14ac:dyDescent="0.3">
      <c r="A20" t="s">
        <v>33</v>
      </c>
      <c r="B20">
        <f>B10*EXP(-B5*B4)-B18</f>
        <v>1.9999998436268487</v>
      </c>
      <c r="E20" t="s">
        <v>33</v>
      </c>
      <c r="F20">
        <f>F10*EXP(-F5*F4)-F18</f>
        <v>2.0000007176179109</v>
      </c>
      <c r="I20" t="s">
        <v>33</v>
      </c>
      <c r="J20">
        <f>J10*EXP(-J5*J4)-J18</f>
        <v>2.0000009514797572</v>
      </c>
    </row>
    <row r="22" spans="1:10" x14ac:dyDescent="0.3">
      <c r="A22" t="s">
        <v>34</v>
      </c>
      <c r="B22">
        <f>LN(B10/B2)/B4</f>
        <v>9.7341882179454928E-2</v>
      </c>
      <c r="E22" t="s">
        <v>34</v>
      </c>
      <c r="F22">
        <f>LN(F10/F2)/F4</f>
        <v>0.13469471307937184</v>
      </c>
      <c r="I22" t="s">
        <v>34</v>
      </c>
      <c r="J22">
        <f>LN(J10/J2)/J4</f>
        <v>0.18529450680962883</v>
      </c>
    </row>
    <row r="26" spans="1:10" x14ac:dyDescent="0.3">
      <c r="A26" t="s">
        <v>0</v>
      </c>
      <c r="B26">
        <v>3</v>
      </c>
    </row>
    <row r="27" spans="1:10" x14ac:dyDescent="0.3">
      <c r="A27" t="s">
        <v>1</v>
      </c>
      <c r="B27">
        <v>3.2539075312907202</v>
      </c>
    </row>
    <row r="28" spans="1:10" x14ac:dyDescent="0.3">
      <c r="A28" t="s">
        <v>27</v>
      </c>
      <c r="B28">
        <v>7.0000000000000007E-2</v>
      </c>
    </row>
    <row r="29" spans="1:10" x14ac:dyDescent="0.3">
      <c r="A29" t="s">
        <v>2</v>
      </c>
      <c r="B29">
        <v>5</v>
      </c>
    </row>
    <row r="30" spans="1:10" x14ac:dyDescent="0.3">
      <c r="A30" t="s">
        <v>28</v>
      </c>
      <c r="B30">
        <v>0.25</v>
      </c>
    </row>
    <row r="31" spans="1:10" x14ac:dyDescent="0.3">
      <c r="A31" t="s">
        <v>31</v>
      </c>
      <c r="B31">
        <v>1.0000001563731513</v>
      </c>
    </row>
    <row r="32" spans="1:10" x14ac:dyDescent="0.3">
      <c r="A32" t="s">
        <v>32</v>
      </c>
      <c r="B32">
        <v>0.2929900387197435</v>
      </c>
    </row>
    <row r="33" spans="1:2" x14ac:dyDescent="0.3">
      <c r="A33" t="s">
        <v>33</v>
      </c>
      <c r="B33">
        <v>1.9999998436268487</v>
      </c>
    </row>
    <row r="34" spans="1:2" x14ac:dyDescent="0.3">
      <c r="A34" t="s">
        <v>34</v>
      </c>
      <c r="B34">
        <v>9.7341882179454928E-2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D173-B9C5-4A13-85CD-1F740A01758B}">
  <dimension ref="A1:H12"/>
  <sheetViews>
    <sheetView workbookViewId="0">
      <selection activeCell="H10" sqref="H10"/>
    </sheetView>
  </sheetViews>
  <sheetFormatPr defaultRowHeight="12.45" x14ac:dyDescent="0.3"/>
  <cols>
    <col min="1" max="1" width="10.69140625" customWidth="1"/>
  </cols>
  <sheetData>
    <row r="1" spans="1:8" x14ac:dyDescent="0.3">
      <c r="A1" t="s">
        <v>0</v>
      </c>
      <c r="B1">
        <v>20</v>
      </c>
      <c r="D1" t="s">
        <v>58</v>
      </c>
      <c r="G1">
        <f>B12/B9</f>
        <v>5464.8400739788976</v>
      </c>
    </row>
    <row r="2" spans="1:8" x14ac:dyDescent="0.3">
      <c r="A2" t="s">
        <v>1</v>
      </c>
      <c r="B2">
        <v>20</v>
      </c>
      <c r="D2" t="s">
        <v>60</v>
      </c>
      <c r="G2">
        <f>B12/B10</f>
        <v>6526.9102555970576</v>
      </c>
    </row>
    <row r="3" spans="1:8" x14ac:dyDescent="0.3">
      <c r="A3" t="s">
        <v>27</v>
      </c>
      <c r="B3" s="1">
        <v>0.03</v>
      </c>
    </row>
    <row r="4" spans="1:8" x14ac:dyDescent="0.3">
      <c r="A4" t="s">
        <v>2</v>
      </c>
      <c r="B4">
        <f>6/12</f>
        <v>0.5</v>
      </c>
    </row>
    <row r="5" spans="1:8" x14ac:dyDescent="0.3">
      <c r="A5" t="s">
        <v>28</v>
      </c>
      <c r="B5" s="2">
        <v>0.3</v>
      </c>
      <c r="D5" t="s">
        <v>61</v>
      </c>
      <c r="F5">
        <v>20</v>
      </c>
      <c r="G5">
        <v>15</v>
      </c>
      <c r="H5">
        <v>30</v>
      </c>
    </row>
    <row r="6" spans="1:8" x14ac:dyDescent="0.3">
      <c r="A6" t="s">
        <v>29</v>
      </c>
      <c r="B6">
        <f>(LN(B1/B2)+(B3+B5^2/2)*B4)/(B5*SQRT(B4))</f>
        <v>0.17677669529663687</v>
      </c>
      <c r="D6" t="s">
        <v>62</v>
      </c>
      <c r="F6">
        <f>$B12/$B1*F5</f>
        <v>10000</v>
      </c>
      <c r="G6">
        <f t="shared" ref="G6:H6" si="0">$B12/$B1*G5</f>
        <v>7500</v>
      </c>
      <c r="H6">
        <f t="shared" si="0"/>
        <v>15000</v>
      </c>
    </row>
    <row r="7" spans="1:8" x14ac:dyDescent="0.3">
      <c r="A7" t="s">
        <v>30</v>
      </c>
      <c r="B7">
        <f>B6-B5*SQRT(B4)</f>
        <v>-3.535533905932739E-2</v>
      </c>
      <c r="D7" t="s">
        <v>63</v>
      </c>
      <c r="F7">
        <v>0</v>
      </c>
      <c r="G7">
        <v>0</v>
      </c>
      <c r="H7">
        <f>G1*(H5-B2)</f>
        <v>54648.40073978898</v>
      </c>
    </row>
    <row r="8" spans="1:8" x14ac:dyDescent="0.3">
      <c r="D8" t="s">
        <v>64</v>
      </c>
      <c r="F8">
        <v>0</v>
      </c>
      <c r="G8">
        <f>G2*(B2-G5)</f>
        <v>32634.551277985287</v>
      </c>
      <c r="H8">
        <v>0</v>
      </c>
    </row>
    <row r="9" spans="1:8" x14ac:dyDescent="0.3">
      <c r="A9" t="s">
        <v>31</v>
      </c>
      <c r="B9">
        <f>B1*_xlfn.NORM.S.DIST(B6,TRUE)-B2*EXP(-B3*B4)*_xlfn.NORM.S.DIST(B7,TRUE)</f>
        <v>1.8298797155319306</v>
      </c>
      <c r="D9" t="s">
        <v>65</v>
      </c>
      <c r="F9">
        <v>30000</v>
      </c>
      <c r="G9">
        <f>F9-G8</f>
        <v>-2634.551277985287</v>
      </c>
      <c r="H9">
        <f>F9-H7</f>
        <v>-24648.40073978898</v>
      </c>
    </row>
    <row r="10" spans="1:8" x14ac:dyDescent="0.3">
      <c r="A10" t="s">
        <v>32</v>
      </c>
      <c r="B10">
        <f>B2*EXP(-B3*B4)*_xlfn.NORM.S.DIST(-B7,TRUE)-B1*_xlfn.NORM.S.DIST(-B6,TRUE)</f>
        <v>1.5321185075931822</v>
      </c>
    </row>
    <row r="12" spans="1:8" x14ac:dyDescent="0.3">
      <c r="A12" t="s">
        <v>59</v>
      </c>
      <c r="B12">
        <v>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25F0-9E4B-4C79-BB4D-7D3A2901C583}">
  <dimension ref="A1:K12"/>
  <sheetViews>
    <sheetView workbookViewId="0">
      <selection activeCell="I8" sqref="I8"/>
    </sheetView>
  </sheetViews>
  <sheetFormatPr defaultRowHeight="12.45" x14ac:dyDescent="0.3"/>
  <cols>
    <col min="1" max="1" width="20.53515625" customWidth="1"/>
    <col min="2" max="2" width="7.921875" customWidth="1"/>
    <col min="3" max="3" width="8.23046875" customWidth="1"/>
    <col min="4" max="4" width="8.4609375" customWidth="1"/>
  </cols>
  <sheetData>
    <row r="1" spans="1:11" x14ac:dyDescent="0.3">
      <c r="A1" t="s">
        <v>0</v>
      </c>
      <c r="B1">
        <v>100</v>
      </c>
      <c r="C1">
        <v>100</v>
      </c>
      <c r="D1">
        <v>100</v>
      </c>
      <c r="F1" t="s">
        <v>67</v>
      </c>
      <c r="I1">
        <v>100</v>
      </c>
      <c r="J1">
        <v>110</v>
      </c>
      <c r="K1">
        <v>120</v>
      </c>
    </row>
    <row r="2" spans="1:11" x14ac:dyDescent="0.3">
      <c r="A2" t="s">
        <v>1</v>
      </c>
      <c r="B2">
        <v>100</v>
      </c>
      <c r="C2">
        <v>110</v>
      </c>
      <c r="D2">
        <v>110</v>
      </c>
      <c r="F2" t="s">
        <v>68</v>
      </c>
      <c r="I2">
        <v>0</v>
      </c>
      <c r="J2">
        <v>0</v>
      </c>
      <c r="K2">
        <f>D12*(K1-D2)</f>
        <v>91630.137656352395</v>
      </c>
    </row>
    <row r="3" spans="1:11" x14ac:dyDescent="0.3">
      <c r="A3" t="s">
        <v>27</v>
      </c>
      <c r="B3" s="1">
        <v>0.03</v>
      </c>
      <c r="C3" s="1">
        <v>0.03</v>
      </c>
      <c r="D3" s="1">
        <v>0.03</v>
      </c>
    </row>
    <row r="4" spans="1:11" x14ac:dyDescent="0.3">
      <c r="A4" t="s">
        <v>2</v>
      </c>
      <c r="B4">
        <f>6/12</f>
        <v>0.5</v>
      </c>
      <c r="C4">
        <v>0.5</v>
      </c>
      <c r="D4">
        <v>0.25</v>
      </c>
      <c r="F4" t="s">
        <v>69</v>
      </c>
      <c r="I4">
        <v>100</v>
      </c>
      <c r="J4">
        <v>110</v>
      </c>
      <c r="K4">
        <v>120</v>
      </c>
    </row>
    <row r="5" spans="1:11" x14ac:dyDescent="0.3">
      <c r="A5" t="s">
        <v>28</v>
      </c>
      <c r="B5" s="2">
        <v>0.2</v>
      </c>
      <c r="C5" s="2">
        <v>0.2</v>
      </c>
      <c r="D5" s="2">
        <v>0.2</v>
      </c>
      <c r="F5" t="s">
        <v>70</v>
      </c>
      <c r="I5">
        <f>$B11/$B1*I4</f>
        <v>10000</v>
      </c>
      <c r="J5">
        <f>$B11/$B1*J4</f>
        <v>11000</v>
      </c>
      <c r="K5">
        <f>$B11/$B1*K4</f>
        <v>12000</v>
      </c>
    </row>
    <row r="6" spans="1:11" x14ac:dyDescent="0.3">
      <c r="A6" t="s">
        <v>29</v>
      </c>
      <c r="B6">
        <f>(LN(B1/B2)+(B3+B5^2/2)*B4)/(B5*SQRT(B4))</f>
        <v>0.17677669529663687</v>
      </c>
      <c r="C6">
        <f t="shared" ref="C6:D6" si="0">(LN(C1/C2)+(C3+C5^2/2)*C4)/(C5*SQRT(C4))</f>
        <v>-0.49716804926083558</v>
      </c>
      <c r="D6">
        <f t="shared" si="0"/>
        <v>-0.8281017980432489</v>
      </c>
      <c r="F6" t="s">
        <v>71</v>
      </c>
      <c r="I6">
        <v>0</v>
      </c>
      <c r="J6">
        <f>$B12*(J4-$B2)</f>
        <v>15696.054217269582</v>
      </c>
      <c r="K6">
        <f>$B12*(K4-$B2)</f>
        <v>31392.108434539165</v>
      </c>
    </row>
    <row r="7" spans="1:11" x14ac:dyDescent="0.3">
      <c r="A7" t="s">
        <v>30</v>
      </c>
      <c r="B7">
        <f>B6-B5*SQRT(B4)</f>
        <v>3.5355339059327334E-2</v>
      </c>
      <c r="C7">
        <f t="shared" ref="C7:D7" si="1">C6-C5*SQRT(C4)</f>
        <v>-0.63858940549814514</v>
      </c>
      <c r="D7">
        <f t="shared" si="1"/>
        <v>-0.92810179804324888</v>
      </c>
      <c r="F7" t="s">
        <v>72</v>
      </c>
      <c r="I7">
        <v>0</v>
      </c>
      <c r="J7">
        <v>0</v>
      </c>
      <c r="K7">
        <f>C12*(K4-D2)</f>
        <v>38286.272684712865</v>
      </c>
    </row>
    <row r="9" spans="1:11" x14ac:dyDescent="0.3">
      <c r="A9" t="s">
        <v>31</v>
      </c>
      <c r="B9">
        <f>B1*_xlfn.NORM.S.DIST(B6,TRUE)-B2*EXP(-B3*B4)*_xlfn.NORM.S.DIST(B7,TRUE)</f>
        <v>6.3710279421674656</v>
      </c>
      <c r="C9">
        <f t="shared" ref="C9:D9" si="2">C1*_xlfn.NORM.S.DIST(C6,TRUE)-C2*EXP(-C3*C4)*_xlfn.NORM.S.DIST(C7,TRUE)</f>
        <v>2.6119022037872206</v>
      </c>
      <c r="D9">
        <f t="shared" si="2"/>
        <v>1.091343989627493</v>
      </c>
    </row>
    <row r="11" spans="1:11" x14ac:dyDescent="0.3">
      <c r="A11" t="s">
        <v>66</v>
      </c>
      <c r="B11">
        <v>10000</v>
      </c>
    </row>
    <row r="12" spans="1:11" x14ac:dyDescent="0.3">
      <c r="A12" t="s">
        <v>49</v>
      </c>
      <c r="B12">
        <f>$B11/B9</f>
        <v>1569.6054217269582</v>
      </c>
      <c r="C12">
        <f t="shared" ref="C12:D12" si="3">$B11/C9</f>
        <v>3828.6272684712867</v>
      </c>
      <c r="D12">
        <f t="shared" si="3"/>
        <v>9163.0137656352399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FE2A-BF74-4F28-80BB-DD106C888467}">
  <dimension ref="A1:B7"/>
  <sheetViews>
    <sheetView workbookViewId="0">
      <selection activeCell="B13" sqref="B13"/>
    </sheetView>
  </sheetViews>
  <sheetFormatPr defaultRowHeight="12.45" x14ac:dyDescent="0.3"/>
  <sheetData>
    <row r="1" spans="1:2" x14ac:dyDescent="0.3">
      <c r="A1" s="4" t="s">
        <v>0</v>
      </c>
      <c r="B1">
        <v>31</v>
      </c>
    </row>
    <row r="2" spans="1:2" x14ac:dyDescent="0.3">
      <c r="A2" s="4" t="s">
        <v>1</v>
      </c>
      <c r="B2">
        <v>30</v>
      </c>
    </row>
    <row r="3" spans="1:2" x14ac:dyDescent="0.3">
      <c r="A3" s="4" t="s">
        <v>3</v>
      </c>
      <c r="B3" s="1">
        <v>0.1</v>
      </c>
    </row>
    <row r="4" spans="1:2" x14ac:dyDescent="0.3">
      <c r="A4" s="4" t="s">
        <v>2</v>
      </c>
      <c r="B4">
        <v>0.25</v>
      </c>
    </row>
    <row r="5" spans="1:2" x14ac:dyDescent="0.3">
      <c r="A5" s="4" t="s">
        <v>31</v>
      </c>
      <c r="B5">
        <v>3</v>
      </c>
    </row>
    <row r="7" spans="1:2" x14ac:dyDescent="0.3">
      <c r="A7" s="4" t="s">
        <v>32</v>
      </c>
      <c r="B7">
        <f>B5+B2*EXP(-B3*B4)-B1</f>
        <v>1.2592973608499776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9DE9-A3C1-43CF-9AB6-80836015A26F}">
  <dimension ref="A1:C8"/>
  <sheetViews>
    <sheetView workbookViewId="0">
      <selection sqref="A1:C8"/>
    </sheetView>
  </sheetViews>
  <sheetFormatPr defaultRowHeight="12.45" x14ac:dyDescent="0.3"/>
  <cols>
    <col min="1" max="1" width="11.3828125" customWidth="1"/>
    <col min="3" max="3" width="21.61328125" customWidth="1"/>
  </cols>
  <sheetData>
    <row r="1" spans="1:3" x14ac:dyDescent="0.3">
      <c r="A1" s="4" t="s">
        <v>0</v>
      </c>
      <c r="B1">
        <v>64</v>
      </c>
    </row>
    <row r="2" spans="1:3" x14ac:dyDescent="0.3">
      <c r="A2" s="4" t="s">
        <v>1</v>
      </c>
      <c r="B2">
        <v>60</v>
      </c>
    </row>
    <row r="3" spans="1:3" x14ac:dyDescent="0.3">
      <c r="A3" s="4" t="s">
        <v>2</v>
      </c>
      <c r="B3">
        <v>0.5</v>
      </c>
    </row>
    <row r="4" spans="1:3" x14ac:dyDescent="0.3">
      <c r="A4" s="4" t="s">
        <v>3</v>
      </c>
      <c r="B4" s="1">
        <v>0.08</v>
      </c>
    </row>
    <row r="5" spans="1:3" x14ac:dyDescent="0.3">
      <c r="A5" s="4" t="s">
        <v>51</v>
      </c>
      <c r="B5">
        <v>5</v>
      </c>
    </row>
    <row r="6" spans="1:3" x14ac:dyDescent="0.3">
      <c r="A6" s="4" t="s">
        <v>52</v>
      </c>
      <c r="B6">
        <f>B5+B2*EXP(-B4*B3)</f>
        <v>62.647366349139389</v>
      </c>
      <c r="C6" s="4" t="s">
        <v>53</v>
      </c>
    </row>
    <row r="8" spans="1:3" x14ac:dyDescent="0.3">
      <c r="A8" s="4" t="s">
        <v>54</v>
      </c>
      <c r="B8" s="4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9878-5432-4BC0-8583-110F42FD1FF0}">
  <dimension ref="A1:B12"/>
  <sheetViews>
    <sheetView tabSelected="1" workbookViewId="0">
      <selection activeCell="M10" sqref="M10"/>
    </sheetView>
  </sheetViews>
  <sheetFormatPr defaultRowHeight="12.45" x14ac:dyDescent="0.3"/>
  <cols>
    <col min="2" max="2" width="12" bestFit="1" customWidth="1"/>
  </cols>
  <sheetData>
    <row r="1" spans="1:2" x14ac:dyDescent="0.3">
      <c r="A1" s="4" t="s">
        <v>56</v>
      </c>
      <c r="B1" s="4" t="s">
        <v>57</v>
      </c>
    </row>
    <row r="2" spans="1:2" x14ac:dyDescent="0.3">
      <c r="A2">
        <v>-5</v>
      </c>
      <c r="B2">
        <f>_xlfn.NORM.S.DIST(A2,TRUE)</f>
        <v>2.8665157187919333E-7</v>
      </c>
    </row>
    <row r="3" spans="1:2" x14ac:dyDescent="0.3">
      <c r="A3">
        <v>-4</v>
      </c>
      <c r="B3">
        <f t="shared" ref="B3:B12" si="0">_xlfn.NORM.S.DIST(A3,TRUE)</f>
        <v>3.1671241833119857E-5</v>
      </c>
    </row>
    <row r="4" spans="1:2" x14ac:dyDescent="0.3">
      <c r="A4">
        <v>-3</v>
      </c>
      <c r="B4">
        <f t="shared" si="0"/>
        <v>1.3498980316300933E-3</v>
      </c>
    </row>
    <row r="5" spans="1:2" x14ac:dyDescent="0.3">
      <c r="A5">
        <v>-2</v>
      </c>
      <c r="B5">
        <f t="shared" si="0"/>
        <v>2.2750131948179191E-2</v>
      </c>
    </row>
    <row r="6" spans="1:2" x14ac:dyDescent="0.3">
      <c r="A6">
        <v>-1</v>
      </c>
      <c r="B6">
        <f t="shared" si="0"/>
        <v>0.15865525393145699</v>
      </c>
    </row>
    <row r="7" spans="1:2" x14ac:dyDescent="0.3">
      <c r="A7">
        <v>0</v>
      </c>
      <c r="B7">
        <f t="shared" si="0"/>
        <v>0.5</v>
      </c>
    </row>
    <row r="8" spans="1:2" x14ac:dyDescent="0.3">
      <c r="A8">
        <v>1</v>
      </c>
      <c r="B8">
        <f t="shared" si="0"/>
        <v>0.84134474606854304</v>
      </c>
    </row>
    <row r="9" spans="1:2" x14ac:dyDescent="0.3">
      <c r="A9">
        <v>2</v>
      </c>
      <c r="B9">
        <f t="shared" si="0"/>
        <v>0.97724986805182079</v>
      </c>
    </row>
    <row r="10" spans="1:2" x14ac:dyDescent="0.3">
      <c r="A10">
        <v>3</v>
      </c>
      <c r="B10">
        <f t="shared" si="0"/>
        <v>0.9986501019683699</v>
      </c>
    </row>
    <row r="11" spans="1:2" x14ac:dyDescent="0.3">
      <c r="A11">
        <v>4</v>
      </c>
      <c r="B11">
        <f t="shared" si="0"/>
        <v>0.99996832875816688</v>
      </c>
    </row>
    <row r="12" spans="1:2" x14ac:dyDescent="0.3">
      <c r="A12">
        <v>5</v>
      </c>
      <c r="B12">
        <f t="shared" si="0"/>
        <v>0.99999971334842808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workbookViewId="0">
      <selection activeCell="D12" sqref="D12"/>
    </sheetView>
  </sheetViews>
  <sheetFormatPr defaultRowHeight="12.45" x14ac:dyDescent="0.3"/>
  <cols>
    <col min="1" max="1" width="12.69140625" customWidth="1"/>
  </cols>
  <sheetData>
    <row r="1" spans="1:2" x14ac:dyDescent="0.3">
      <c r="A1" t="s">
        <v>40</v>
      </c>
    </row>
    <row r="2" spans="1:2" x14ac:dyDescent="0.3">
      <c r="A2" t="s">
        <v>0</v>
      </c>
      <c r="B2">
        <v>50</v>
      </c>
    </row>
    <row r="3" spans="1:2" x14ac:dyDescent="0.3">
      <c r="A3" t="s">
        <v>1</v>
      </c>
      <c r="B3">
        <v>50</v>
      </c>
    </row>
    <row r="4" spans="1:2" x14ac:dyDescent="0.3">
      <c r="A4" t="s">
        <v>27</v>
      </c>
      <c r="B4" s="1">
        <v>0.06</v>
      </c>
    </row>
    <row r="5" spans="1:2" x14ac:dyDescent="0.3">
      <c r="A5" t="s">
        <v>2</v>
      </c>
      <c r="B5">
        <f>9/12</f>
        <v>0.75</v>
      </c>
    </row>
    <row r="6" spans="1:2" x14ac:dyDescent="0.3">
      <c r="A6" t="s">
        <v>28</v>
      </c>
      <c r="B6" s="2">
        <v>0.25</v>
      </c>
    </row>
    <row r="7" spans="1:2" x14ac:dyDescent="0.3">
      <c r="A7" t="s">
        <v>29</v>
      </c>
      <c r="B7">
        <f>(LN(B2/B3)+(B4+B6^2/2)*B5)/(B6*SQRT(B5))</f>
        <v>0.31609927238132013</v>
      </c>
    </row>
    <row r="8" spans="1:2" x14ac:dyDescent="0.3">
      <c r="A8" t="s">
        <v>30</v>
      </c>
      <c r="B8">
        <f>B7-B6*SQRT(B5)</f>
        <v>9.959292143521048E-2</v>
      </c>
    </row>
    <row r="10" spans="1:2" x14ac:dyDescent="0.3">
      <c r="A10" t="s">
        <v>31</v>
      </c>
      <c r="B10">
        <f>B2*NORMSDIST(B7)-B3*EXP(-B4*B5)*NORMSDIST(B8)</f>
        <v>5.4058425522673481</v>
      </c>
    </row>
    <row r="11" spans="1:2" x14ac:dyDescent="0.3">
      <c r="A11" t="s">
        <v>32</v>
      </c>
      <c r="B11">
        <f>B3*EXP(-B4*B5)*NORMSDIST(-B8)-B2*NORMSDIST(-B7)</f>
        <v>3.2057166439223472</v>
      </c>
    </row>
    <row r="14" spans="1:2" x14ac:dyDescent="0.3">
      <c r="A14" t="s">
        <v>41</v>
      </c>
    </row>
    <row r="15" spans="1:2" x14ac:dyDescent="0.3">
      <c r="A15" t="s">
        <v>42</v>
      </c>
      <c r="B15">
        <f>1.5*EXP(-0.06*5/12)</f>
        <v>1.4629648680424991</v>
      </c>
    </row>
    <row r="16" spans="1:2" x14ac:dyDescent="0.3">
      <c r="A16" t="s">
        <v>0</v>
      </c>
      <c r="B16">
        <f>B2-B15</f>
        <v>48.537035131957502</v>
      </c>
    </row>
    <row r="17" spans="1:2" x14ac:dyDescent="0.3">
      <c r="A17" t="s">
        <v>1</v>
      </c>
      <c r="B17">
        <v>50</v>
      </c>
    </row>
    <row r="18" spans="1:2" x14ac:dyDescent="0.3">
      <c r="A18" t="s">
        <v>27</v>
      </c>
      <c r="B18" s="1">
        <v>0.06</v>
      </c>
    </row>
    <row r="19" spans="1:2" x14ac:dyDescent="0.3">
      <c r="A19" t="s">
        <v>2</v>
      </c>
      <c r="B19">
        <f>9/12</f>
        <v>0.75</v>
      </c>
    </row>
    <row r="20" spans="1:2" x14ac:dyDescent="0.3">
      <c r="A20" t="s">
        <v>28</v>
      </c>
      <c r="B20" s="2">
        <v>0.25</v>
      </c>
    </row>
    <row r="21" spans="1:2" x14ac:dyDescent="0.3">
      <c r="A21" t="s">
        <v>29</v>
      </c>
      <c r="B21">
        <f>(LN(B16/B17)+(B18+B20^2/2)*B19)/(B20*SQRT(B19))</f>
        <v>0.17893984131029536</v>
      </c>
    </row>
    <row r="22" spans="1:2" x14ac:dyDescent="0.3">
      <c r="A22" t="s">
        <v>30</v>
      </c>
      <c r="B22">
        <f>B21-B20*SQRT(B19)</f>
        <v>-3.7566509635814288E-2</v>
      </c>
    </row>
    <row r="24" spans="1:2" x14ac:dyDescent="0.3">
      <c r="A24" t="s">
        <v>31</v>
      </c>
      <c r="B24">
        <f>B16*NORMSDIST(B21)-B17*EXP(-B18*B19)*NORMSDIST(B22)</f>
        <v>4.531277520334779</v>
      </c>
    </row>
    <row r="25" spans="1:2" x14ac:dyDescent="0.3">
      <c r="A25" t="s">
        <v>32</v>
      </c>
      <c r="B25">
        <f>B17*EXP(-B18*B19)*NORMSDIST(-B22)-B16*NORMSDIST(-B21)</f>
        <v>3.794116480032276</v>
      </c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topLeftCell="A2" workbookViewId="0">
      <selection activeCell="I23" sqref="I23"/>
    </sheetView>
  </sheetViews>
  <sheetFormatPr defaultRowHeight="12.45" x14ac:dyDescent="0.3"/>
  <cols>
    <col min="1" max="1" width="21.23046875" customWidth="1"/>
    <col min="3" max="3" width="3.4609375" customWidth="1"/>
    <col min="5" max="5" width="5.4609375" customWidth="1"/>
  </cols>
  <sheetData>
    <row r="1" spans="1:8" x14ac:dyDescent="0.3">
      <c r="A1" t="s">
        <v>43</v>
      </c>
      <c r="D1" t="s">
        <v>46</v>
      </c>
      <c r="F1">
        <v>12000</v>
      </c>
      <c r="G1">
        <v>13500</v>
      </c>
      <c r="H1">
        <v>15000</v>
      </c>
    </row>
    <row r="2" spans="1:8" x14ac:dyDescent="0.3">
      <c r="A2" t="s">
        <v>44</v>
      </c>
      <c r="B2" s="3">
        <v>10000</v>
      </c>
    </row>
    <row r="3" spans="1:8" x14ac:dyDescent="0.3">
      <c r="A3" t="s">
        <v>45</v>
      </c>
      <c r="B3">
        <v>12000</v>
      </c>
      <c r="D3" t="s">
        <v>47</v>
      </c>
      <c r="F3">
        <f>$B2*F1/$B3</f>
        <v>10000</v>
      </c>
      <c r="G3">
        <f>$B2*G1/$B3</f>
        <v>11250</v>
      </c>
      <c r="H3">
        <f>$B2*H1/$B3</f>
        <v>12500</v>
      </c>
    </row>
    <row r="5" spans="1:8" x14ac:dyDescent="0.3">
      <c r="A5" t="s">
        <v>48</v>
      </c>
    </row>
    <row r="6" spans="1:8" x14ac:dyDescent="0.3">
      <c r="A6" t="s">
        <v>0</v>
      </c>
      <c r="B6">
        <v>12000</v>
      </c>
    </row>
    <row r="7" spans="1:8" x14ac:dyDescent="0.3">
      <c r="A7" t="s">
        <v>1</v>
      </c>
      <c r="B7">
        <v>12000</v>
      </c>
    </row>
    <row r="8" spans="1:8" x14ac:dyDescent="0.3">
      <c r="A8" t="s">
        <v>27</v>
      </c>
      <c r="B8" s="1">
        <v>0.04</v>
      </c>
    </row>
    <row r="9" spans="1:8" x14ac:dyDescent="0.3">
      <c r="A9" t="s">
        <v>2</v>
      </c>
      <c r="B9">
        <v>0.5</v>
      </c>
    </row>
    <row r="10" spans="1:8" x14ac:dyDescent="0.3">
      <c r="A10" t="s">
        <v>28</v>
      </c>
      <c r="B10" s="2">
        <v>0.15</v>
      </c>
    </row>
    <row r="11" spans="1:8" x14ac:dyDescent="0.3">
      <c r="A11" t="s">
        <v>29</v>
      </c>
      <c r="B11">
        <f>(LN(B6/B7)+(B8+B10^2/2)*B9)/(B10*SQRT(B9))</f>
        <v>0.24159481690540377</v>
      </c>
    </row>
    <row r="12" spans="1:8" x14ac:dyDescent="0.3">
      <c r="A12" t="s">
        <v>30</v>
      </c>
      <c r="B12">
        <f>B11-B10*SQRT(B9)</f>
        <v>0.13552879972742166</v>
      </c>
    </row>
    <row r="14" spans="1:8" x14ac:dyDescent="0.3">
      <c r="A14" t="s">
        <v>31</v>
      </c>
      <c r="B14">
        <f>B6*NORMSDIST(B11)-B7*EXP(-B8*B9)*NORMSDIST(B12)</f>
        <v>630.214136092427</v>
      </c>
    </row>
    <row r="15" spans="1:8" x14ac:dyDescent="0.3">
      <c r="A15" t="s">
        <v>49</v>
      </c>
      <c r="B15">
        <f>B2/B14</f>
        <v>15.867622490989957</v>
      </c>
      <c r="D15" t="s">
        <v>47</v>
      </c>
      <c r="F15">
        <f>(F1-$B7)*$B15</f>
        <v>0</v>
      </c>
      <c r="G15">
        <f>(G1-$B7)*$B15</f>
        <v>23801.433736484934</v>
      </c>
      <c r="H15">
        <f>(H1-$B7)*$B15</f>
        <v>47602.867472969869</v>
      </c>
    </row>
    <row r="17" spans="1:8" x14ac:dyDescent="0.3">
      <c r="A17" t="s">
        <v>48</v>
      </c>
    </row>
    <row r="18" spans="1:8" x14ac:dyDescent="0.3">
      <c r="A18" t="s">
        <v>0</v>
      </c>
      <c r="B18">
        <v>12000</v>
      </c>
    </row>
    <row r="19" spans="1:8" x14ac:dyDescent="0.3">
      <c r="A19" t="s">
        <v>1</v>
      </c>
      <c r="B19">
        <v>13000</v>
      </c>
    </row>
    <row r="20" spans="1:8" x14ac:dyDescent="0.3">
      <c r="A20" t="s">
        <v>27</v>
      </c>
      <c r="B20" s="1">
        <v>0.04</v>
      </c>
    </row>
    <row r="21" spans="1:8" x14ac:dyDescent="0.3">
      <c r="A21" t="s">
        <v>2</v>
      </c>
      <c r="B21">
        <v>0.5</v>
      </c>
    </row>
    <row r="22" spans="1:8" x14ac:dyDescent="0.3">
      <c r="A22" t="s">
        <v>28</v>
      </c>
      <c r="B22" s="2">
        <v>0.15</v>
      </c>
    </row>
    <row r="23" spans="1:8" x14ac:dyDescent="0.3">
      <c r="A23" t="s">
        <v>29</v>
      </c>
      <c r="B23">
        <f>(LN(B18/B19)+(B20+B22^2/2)*B21)/(B22*SQRT(B21))</f>
        <v>-0.51305506816779722</v>
      </c>
    </row>
    <row r="24" spans="1:8" x14ac:dyDescent="0.3">
      <c r="A24" t="s">
        <v>30</v>
      </c>
      <c r="B24">
        <f>B23-B22*SQRT(B21)</f>
        <v>-0.61912108534577937</v>
      </c>
    </row>
    <row r="26" spans="1:8" x14ac:dyDescent="0.3">
      <c r="A26" t="s">
        <v>31</v>
      </c>
      <c r="B26">
        <f>B18*NORMSDIST(B23)-B19*EXP(-B20*B21)*NORMSDIST(B24)</f>
        <v>233.50573409144317</v>
      </c>
    </row>
    <row r="27" spans="1:8" x14ac:dyDescent="0.3">
      <c r="A27" t="s">
        <v>49</v>
      </c>
      <c r="B27">
        <f>B2/B26</f>
        <v>42.825500790845247</v>
      </c>
      <c r="D27" t="s">
        <v>47</v>
      </c>
      <c r="F27">
        <v>0</v>
      </c>
      <c r="G27">
        <f>(G1-$B19)*$B27</f>
        <v>21412.750395422623</v>
      </c>
      <c r="H27">
        <f>(H1-$B19)*$B27</f>
        <v>85651.001581690492</v>
      </c>
    </row>
  </sheetData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B6"/>
  <sheetViews>
    <sheetView workbookViewId="0">
      <selection activeCell="D28" sqref="D28"/>
    </sheetView>
  </sheetViews>
  <sheetFormatPr defaultRowHeight="12.45" x14ac:dyDescent="0.3"/>
  <sheetData>
    <row r="1" spans="1:2" x14ac:dyDescent="0.3">
      <c r="A1" t="s">
        <v>0</v>
      </c>
      <c r="B1">
        <v>19</v>
      </c>
    </row>
    <row r="2" spans="1:2" x14ac:dyDescent="0.3">
      <c r="A2" t="s">
        <v>1</v>
      </c>
      <c r="B2">
        <v>20</v>
      </c>
    </row>
    <row r="3" spans="1:2" x14ac:dyDescent="0.3">
      <c r="A3" t="s">
        <v>2</v>
      </c>
      <c r="B3">
        <f>3/12</f>
        <v>0.25</v>
      </c>
    </row>
    <row r="4" spans="1:2" x14ac:dyDescent="0.3">
      <c r="A4" t="s">
        <v>3</v>
      </c>
      <c r="B4" s="1">
        <v>0.05</v>
      </c>
    </row>
    <row r="5" spans="1:2" x14ac:dyDescent="0.3">
      <c r="A5" t="s">
        <v>4</v>
      </c>
      <c r="B5">
        <v>1</v>
      </c>
    </row>
    <row r="6" spans="1:2" x14ac:dyDescent="0.3">
      <c r="A6" t="s">
        <v>5</v>
      </c>
      <c r="B6">
        <f>B5+B2*EXP(-B4*B3)-B1</f>
        <v>1.7515560098776284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7E6EADF92FB542A50719A3B4DF3975" ma:contentTypeVersion="8" ma:contentTypeDescription="Create a new document." ma:contentTypeScope="" ma:versionID="e65d691bb514de63d86b2cc85ff4ec5c">
  <xsd:schema xmlns:xsd="http://www.w3.org/2001/XMLSchema" xmlns:xs="http://www.w3.org/2001/XMLSchema" xmlns:p="http://schemas.microsoft.com/office/2006/metadata/properties" xmlns:ns3="e7e8b56f-a437-462a-a3cd-5084f6573a6d" targetNamespace="http://schemas.microsoft.com/office/2006/metadata/properties" ma:root="true" ma:fieldsID="fa6db4d5d9a5ce9e74b5bb7c6ea253d0" ns3:_="">
    <xsd:import namespace="e7e8b56f-a437-462a-a3cd-5084f6573a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8b56f-a437-462a-a3cd-5084f6573a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826C16-E978-4778-B39E-359E46C860AC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e7e8b56f-a437-462a-a3cd-5084f6573a6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B8DAB8-2E17-41ED-A866-B7016DCEE5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93FF59-E560-4C90-ABC3-2B41A41B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e8b56f-a437-462a-a3cd-5084f6573a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4</vt:i4>
      </vt:variant>
    </vt:vector>
  </HeadingPairs>
  <TitlesOfParts>
    <vt:vector size="20" baseType="lpstr">
      <vt:lpstr>Example 1</vt:lpstr>
      <vt:lpstr>Example 3</vt:lpstr>
      <vt:lpstr>Example 4</vt:lpstr>
      <vt:lpstr>Example 5</vt:lpstr>
      <vt:lpstr>Example 6</vt:lpstr>
      <vt:lpstr>Sheet1</vt:lpstr>
      <vt:lpstr>Homework1</vt:lpstr>
      <vt:lpstr>Homework2</vt:lpstr>
      <vt:lpstr>Homework3</vt:lpstr>
      <vt:lpstr>Homework4</vt:lpstr>
      <vt:lpstr>Homework6</vt:lpstr>
      <vt:lpstr>slope of yield curve and volati</vt:lpstr>
      <vt:lpstr>leverage and debt rate</vt:lpstr>
      <vt:lpstr>Sheet4</vt:lpstr>
      <vt:lpstr>maturity and lending rate</vt:lpstr>
      <vt:lpstr>example</vt:lpstr>
      <vt:lpstr>Chart1</vt:lpstr>
      <vt:lpstr>Chart2</vt:lpstr>
      <vt:lpstr>Chart4</vt:lpstr>
      <vt:lpstr>Chart3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cp:lastPrinted>2014-01-27T16:19:44Z</cp:lastPrinted>
  <dcterms:created xsi:type="dcterms:W3CDTF">1996-10-14T23:33:28Z</dcterms:created>
  <dcterms:modified xsi:type="dcterms:W3CDTF">2020-10-16T01:41:41Z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0x010100677E6EADF92FB542A50719A3B4DF3975</vt:lpwstr>
  </property>
</Properties>
</file>