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nj\Downloads\"/>
    </mc:Choice>
  </mc:AlternateContent>
  <xr:revisionPtr revIDLastSave="0" documentId="13_ncr:1_{5B40BE59-CD4B-47D1-B207-5961235D252B}" xr6:coauthVersionLast="47" xr6:coauthVersionMax="47" xr10:uidLastSave="{00000000-0000-0000-0000-000000000000}"/>
  <bookViews>
    <workbookView xWindow="-110" yWindow="-110" windowWidth="19420" windowHeight="10300" firstSheet="3" activeTab="2" xr2:uid="{02C546BA-6ECC-478B-B99D-AB73D11DD8E3}"/>
  </bookViews>
  <sheets>
    <sheet name="Bond Pricing" sheetId="2" r:id="rId1"/>
    <sheet name="mortgage" sheetId="3" r:id="rId2"/>
    <sheet name="expectation" sheetId="4" r:id="rId3"/>
    <sheet name="WACC" sheetId="5" r:id="rId4"/>
    <sheet name="Capital Structure" sheetId="7" r:id="rId5"/>
    <sheet name="Capital Structure 2" sheetId="9" r:id="rId6"/>
    <sheet name="BlackScholes" sheetId="8" r:id="rId7"/>
    <sheet name="capital structureOld" sheetId="6" r:id="rId8"/>
    <sheet name="Sheet1" sheetId="1" r:id="rId9"/>
  </sheets>
  <definedNames>
    <definedName name="solver_adj" localSheetId="7" hidden="1">'capital structureOld'!$F$7</definedName>
    <definedName name="solver_cvg" localSheetId="7" hidden="1">0.0001</definedName>
    <definedName name="solver_drv" localSheetId="7" hidden="1">2</definedName>
    <definedName name="solver_eng" localSheetId="7" hidden="1">1</definedName>
    <definedName name="solver_est" localSheetId="7" hidden="1">1</definedName>
    <definedName name="solver_itr" localSheetId="7" hidden="1">2147483647</definedName>
    <definedName name="solver_mip" localSheetId="7" hidden="1">2147483647</definedName>
    <definedName name="solver_mni" localSheetId="7" hidden="1">30</definedName>
    <definedName name="solver_mrt" localSheetId="7" hidden="1">0.075</definedName>
    <definedName name="solver_msl" localSheetId="7" hidden="1">2</definedName>
    <definedName name="solver_neg" localSheetId="7" hidden="1">1</definedName>
    <definedName name="solver_nod" localSheetId="7" hidden="1">2147483647</definedName>
    <definedName name="solver_num" localSheetId="7" hidden="1">0</definedName>
    <definedName name="solver_nwt" localSheetId="7" hidden="1">1</definedName>
    <definedName name="solver_opt" localSheetId="7" hidden="1">'capital structureOld'!$H$1</definedName>
    <definedName name="solver_pre" localSheetId="7" hidden="1">0.000001</definedName>
    <definedName name="solver_rbv" localSheetId="7" hidden="1">2</definedName>
    <definedName name="solver_rlx" localSheetId="7" hidden="1">2</definedName>
    <definedName name="solver_rsd" localSheetId="7" hidden="1">0</definedName>
    <definedName name="solver_scl" localSheetId="7" hidden="1">2</definedName>
    <definedName name="solver_sho" localSheetId="7" hidden="1">2</definedName>
    <definedName name="solver_ssz" localSheetId="7" hidden="1">100</definedName>
    <definedName name="solver_tim" localSheetId="7" hidden="1">2147483647</definedName>
    <definedName name="solver_tol" localSheetId="7" hidden="1">0.01</definedName>
    <definedName name="solver_typ" localSheetId="7" hidden="1">3</definedName>
    <definedName name="solver_val" localSheetId="7" hidden="1">0.1</definedName>
    <definedName name="solver_ver" localSheetId="7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7" i="8" l="1"/>
  <c r="G46" i="8"/>
  <c r="G45" i="8"/>
  <c r="F45" i="8"/>
  <c r="F44" i="8"/>
  <c r="G44" i="8"/>
  <c r="E44" i="8"/>
  <c r="H40" i="8"/>
  <c r="H39" i="8"/>
  <c r="H41" i="8" s="1"/>
  <c r="E40" i="8"/>
  <c r="E39" i="8"/>
  <c r="E41" i="8" s="1"/>
  <c r="B40" i="8"/>
  <c r="B39" i="8"/>
  <c r="B41" i="8" s="1"/>
  <c r="G31" i="8"/>
  <c r="F31" i="8"/>
  <c r="F30" i="8"/>
  <c r="G29" i="8"/>
  <c r="F28" i="8"/>
  <c r="G28" i="8"/>
  <c r="E28" i="8"/>
  <c r="E25" i="8"/>
  <c r="E24" i="8"/>
  <c r="B29" i="8"/>
  <c r="B31" i="8" s="1"/>
  <c r="B28" i="8"/>
  <c r="B30" i="8" s="1"/>
  <c r="B13" i="8"/>
  <c r="B19" i="8" s="1"/>
  <c r="B10" i="8"/>
  <c r="B9" i="8"/>
  <c r="B8" i="8"/>
  <c r="B7" i="8"/>
  <c r="B18" i="8" l="1"/>
  <c r="B20" i="8" s="1"/>
  <c r="H2" i="9"/>
  <c r="H1" i="9"/>
  <c r="F23" i="9"/>
  <c r="D26" i="9"/>
  <c r="D25" i="9"/>
  <c r="D23" i="9"/>
  <c r="D21" i="9"/>
  <c r="D20" i="9"/>
  <c r="F13" i="9"/>
  <c r="D16" i="9"/>
  <c r="D15" i="9"/>
  <c r="D13" i="9"/>
  <c r="F8" i="9"/>
  <c r="B23" i="9"/>
  <c r="B24" i="9" s="1"/>
  <c r="B25" i="9" s="1"/>
  <c r="B26" i="9" s="1"/>
  <c r="B18" i="9"/>
  <c r="B19" i="9" s="1"/>
  <c r="B20" i="9" s="1"/>
  <c r="B21" i="9" s="1"/>
  <c r="B16" i="9"/>
  <c r="B15" i="9"/>
  <c r="B13" i="9"/>
  <c r="B8" i="9"/>
  <c r="B9" i="9" s="1"/>
  <c r="B10" i="9" s="1"/>
  <c r="B11" i="9" s="1"/>
  <c r="D8" i="9"/>
  <c r="D9" i="9" s="1"/>
  <c r="D10" i="9" s="1"/>
  <c r="D11" i="9" s="1"/>
  <c r="B38" i="7"/>
  <c r="B39" i="7" s="1"/>
  <c r="B40" i="7" s="1"/>
  <c r="B41" i="7" s="1"/>
  <c r="B33" i="7"/>
  <c r="B34" i="7"/>
  <c r="B35" i="7" s="1"/>
  <c r="B36" i="7" s="1"/>
  <c r="D28" i="7"/>
  <c r="B28" i="7"/>
  <c r="D23" i="7"/>
  <c r="B29" i="7"/>
  <c r="B30" i="7" s="1"/>
  <c r="B31" i="7" s="1"/>
  <c r="B26" i="7"/>
  <c r="B25" i="7"/>
  <c r="B24" i="7"/>
  <c r="B23" i="7"/>
  <c r="B6" i="7"/>
  <c r="B7" i="7" s="1"/>
  <c r="B8" i="7" s="1"/>
  <c r="B9" i="7" s="1"/>
  <c r="H1" i="6"/>
  <c r="F11" i="6"/>
  <c r="D1" i="6"/>
  <c r="B8" i="6"/>
  <c r="B10" i="6" s="1"/>
  <c r="B11" i="6"/>
  <c r="D38" i="7" l="1"/>
  <c r="D33" i="7"/>
  <c r="B11" i="7"/>
  <c r="B13" i="7" s="1"/>
  <c r="D1" i="7"/>
  <c r="B15" i="5"/>
  <c r="B14" i="5"/>
  <c r="B13" i="5"/>
  <c r="B12" i="5"/>
  <c r="B11" i="5"/>
  <c r="B10" i="5"/>
  <c r="B9" i="5"/>
  <c r="B8" i="5"/>
  <c r="B7" i="5"/>
  <c r="I8" i="4" l="1"/>
  <c r="I9" i="4" s="1"/>
  <c r="F8" i="4"/>
  <c r="F9" i="4" s="1"/>
  <c r="B8" i="4"/>
  <c r="B9" i="4" s="1"/>
  <c r="I13" i="4" s="1"/>
  <c r="K8" i="3"/>
  <c r="K7" i="3"/>
  <c r="K3" i="3"/>
  <c r="K4" i="3" s="1"/>
  <c r="H8" i="3"/>
  <c r="H7" i="3"/>
  <c r="H4" i="3"/>
  <c r="H9" i="3" s="1"/>
  <c r="H3" i="3"/>
  <c r="E8" i="3"/>
  <c r="E7" i="3"/>
  <c r="E3" i="3"/>
  <c r="E4" i="3" s="1"/>
  <c r="E9" i="3" s="1"/>
  <c r="B9" i="3"/>
  <c r="B4" i="3"/>
  <c r="B8" i="3"/>
  <c r="B7" i="3"/>
  <c r="B3" i="3"/>
  <c r="B11" i="1"/>
  <c r="B12" i="1" s="1"/>
  <c r="I23" i="2"/>
  <c r="F22" i="2"/>
  <c r="F23" i="2" s="1"/>
  <c r="B22" i="2"/>
  <c r="I21" i="2"/>
  <c r="F21" i="2"/>
  <c r="B21" i="2"/>
  <c r="B23" i="2" s="1"/>
  <c r="B5" i="2"/>
  <c r="I13" i="2"/>
  <c r="I5" i="2"/>
  <c r="F14" i="2"/>
  <c r="F15" i="2" s="1"/>
  <c r="B14" i="2"/>
  <c r="F13" i="2"/>
  <c r="B13" i="2"/>
  <c r="B15" i="2" s="1"/>
  <c r="F6" i="2"/>
  <c r="F5" i="2"/>
  <c r="F7" i="2" s="1"/>
  <c r="B7" i="2"/>
  <c r="B6" i="2"/>
  <c r="D10" i="1"/>
  <c r="D9" i="1"/>
  <c r="D8" i="1"/>
  <c r="D7" i="1"/>
  <c r="D6" i="1"/>
  <c r="D5" i="1"/>
  <c r="D4" i="1"/>
  <c r="D3" i="1"/>
  <c r="D2" i="1"/>
  <c r="D1" i="1"/>
  <c r="C10" i="1"/>
  <c r="C6" i="1"/>
  <c r="C7" i="1"/>
  <c r="C8" i="1"/>
  <c r="C9" i="1"/>
  <c r="C2" i="1"/>
  <c r="C3" i="1"/>
  <c r="C4" i="1"/>
  <c r="C5" i="1"/>
  <c r="C1" i="1"/>
  <c r="A11" i="1"/>
  <c r="A12" i="1" s="1"/>
  <c r="B11" i="4" l="1"/>
  <c r="B14" i="4" s="1"/>
  <c r="B15" i="4" s="1"/>
  <c r="F11" i="4"/>
  <c r="F14" i="4" s="1"/>
  <c r="F15" i="4" s="1"/>
  <c r="K9" i="3"/>
  <c r="I15" i="2"/>
  <c r="I7" i="2"/>
  <c r="D11" i="1"/>
  <c r="D12" i="1" s="1"/>
  <c r="C11" i="1"/>
  <c r="C12" i="1" s="1"/>
  <c r="F8" i="6" l="1"/>
  <c r="F10" i="6" s="1"/>
  <c r="B14" i="9"/>
  <c r="D14" i="9"/>
  <c r="D18" i="9"/>
  <c r="D19" i="9" s="1"/>
  <c r="D24" i="9" l="1"/>
  <c r="F18" i="9" l="1"/>
</calcChain>
</file>

<file path=xl/sharedStrings.xml><?xml version="1.0" encoding="utf-8"?>
<sst xmlns="http://schemas.openxmlformats.org/spreadsheetml/2006/main" count="326" uniqueCount="101">
  <si>
    <t>Principal</t>
  </si>
  <si>
    <t>coupon rate</t>
  </si>
  <si>
    <t>time to maturity</t>
  </si>
  <si>
    <t>year</t>
  </si>
  <si>
    <t>discount rate</t>
  </si>
  <si>
    <t>PV of coupon</t>
  </si>
  <si>
    <t>PV of principal</t>
  </si>
  <si>
    <t>bond price</t>
  </si>
  <si>
    <t>perpetual</t>
  </si>
  <si>
    <t>Housing price</t>
  </si>
  <si>
    <t>down payment rate</t>
  </si>
  <si>
    <t>down payment amount</t>
  </si>
  <si>
    <t>remaining for mortgage</t>
  </si>
  <si>
    <t>mortgage rate</t>
  </si>
  <si>
    <t>payment period</t>
  </si>
  <si>
    <t>monthly rate</t>
  </si>
  <si>
    <t>payment numbers</t>
  </si>
  <si>
    <t>monthly payment</t>
  </si>
  <si>
    <t>years</t>
  </si>
  <si>
    <t>Fixed cost</t>
  </si>
  <si>
    <t>unit prodct value</t>
  </si>
  <si>
    <t>variable cost</t>
  </si>
  <si>
    <t>growth rate</t>
  </si>
  <si>
    <t>duration of production</t>
  </si>
  <si>
    <t>NPV</t>
  </si>
  <si>
    <t>PV</t>
  </si>
  <si>
    <t>share after merger</t>
  </si>
  <si>
    <t>total value of the merged company after revaluation</t>
  </si>
  <si>
    <t>value for original owners</t>
  </si>
  <si>
    <t>Profit or loss</t>
  </si>
  <si>
    <t>coupon</t>
  </si>
  <si>
    <t>principal</t>
  </si>
  <si>
    <t>maturity</t>
  </si>
  <si>
    <t>dividend</t>
  </si>
  <si>
    <t>equity price</t>
  </si>
  <si>
    <t>bond return</t>
  </si>
  <si>
    <t>equity yield</t>
  </si>
  <si>
    <t>WACC</t>
  </si>
  <si>
    <t>coupon discounted by WACC</t>
  </si>
  <si>
    <t>principal discounted by WACC</t>
  </si>
  <si>
    <t>dividend discounted by WACC</t>
  </si>
  <si>
    <t>Asset value calculated from WACC</t>
  </si>
  <si>
    <t>Asset value as sum of debt and equity</t>
  </si>
  <si>
    <t>ratio</t>
  </si>
  <si>
    <t>unlevered cost of capital</t>
  </si>
  <si>
    <t>cost of debt</t>
  </si>
  <si>
    <t xml:space="preserve">tax rate </t>
  </si>
  <si>
    <t>M</t>
  </si>
  <si>
    <t>expected annual profit</t>
  </si>
  <si>
    <t>Debt financing</t>
  </si>
  <si>
    <t>Equity financing</t>
  </si>
  <si>
    <t>cost of equity</t>
  </si>
  <si>
    <t>WACC with tax</t>
  </si>
  <si>
    <t>NPV of cashflows, discounted by WACC with tax</t>
  </si>
  <si>
    <t>Annual tax saving</t>
  </si>
  <si>
    <t>calculated</t>
  </si>
  <si>
    <t>annual profit plus tax saving</t>
  </si>
  <si>
    <t>total project value</t>
  </si>
  <si>
    <t>annual profit</t>
  </si>
  <si>
    <t>number of years</t>
  </si>
  <si>
    <t>unleverd cost of capital</t>
  </si>
  <si>
    <t>debt equity ratio</t>
  </si>
  <si>
    <t>PV of 4th year profit, at year 3, before tax saving</t>
  </si>
  <si>
    <t>debt rate</t>
  </si>
  <si>
    <t>equity rate</t>
  </si>
  <si>
    <t>debt portion of PV</t>
  </si>
  <si>
    <t>tax saving from interest payment</t>
  </si>
  <si>
    <t>interest payment</t>
  </si>
  <si>
    <t>PV of 3,4th year profit, at year 2, before tax saving</t>
  </si>
  <si>
    <t>PV of 2,3,4th year profit, at year 1, before tax saving</t>
  </si>
  <si>
    <t>PV of 1,2,3,4th year profit, at year 0, before tax saving</t>
  </si>
  <si>
    <t>after tax saving</t>
  </si>
  <si>
    <t>WACC with tax saving</t>
  </si>
  <si>
    <t>PV with WACC</t>
  </si>
  <si>
    <t>Example 1</t>
  </si>
  <si>
    <t>S</t>
  </si>
  <si>
    <t>K</t>
  </si>
  <si>
    <t>T</t>
  </si>
  <si>
    <t>r</t>
  </si>
  <si>
    <t>sigma</t>
  </si>
  <si>
    <t>d1</t>
  </si>
  <si>
    <t>d2</t>
  </si>
  <si>
    <t>call</t>
  </si>
  <si>
    <t>put</t>
  </si>
  <si>
    <t>Example 2</t>
  </si>
  <si>
    <t>time of dividend</t>
  </si>
  <si>
    <t>month</t>
  </si>
  <si>
    <t>adjusted S</t>
  </si>
  <si>
    <t>Example 3</t>
  </si>
  <si>
    <t>Initial wealth</t>
  </si>
  <si>
    <t>number of  call options bought by the second investor</t>
  </si>
  <si>
    <t>number of  put options bought by the third investor</t>
  </si>
  <si>
    <t>Final share price</t>
  </si>
  <si>
    <t>Finalwealth: First investor</t>
  </si>
  <si>
    <t>Finalwealth: Second investor</t>
  </si>
  <si>
    <t>Finalwealth: Third investor</t>
  </si>
  <si>
    <t>Finalwealth: Fourth investor</t>
  </si>
  <si>
    <t>Example 4</t>
  </si>
  <si>
    <t>1st company</t>
  </si>
  <si>
    <t>2nd company</t>
  </si>
  <si>
    <t>revaluation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</si>
</sst>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0" fillId="0" borderId="0" xfId="0" applyNumberFormat="1"/>
    <xf numFmtId="1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41B2E-2FA0-4457-A76B-EF8385BB5F1B}">
  <dimension ref="A1:J23"/>
  <sheetViews>
    <sheetView topLeftCell="A10" workbookViewId="0">
      <selection activeCell="I21" sqref="I21"/>
    </sheetView>
  </sheetViews>
  <sheetFormatPr defaultRowHeight="14.5" x14ac:dyDescent="0.35"/>
  <cols>
    <col min="1" max="1" width="13.36328125" customWidth="1"/>
    <col min="5" max="5" width="17.26953125" customWidth="1"/>
    <col min="8" max="8" width="16.90625" customWidth="1"/>
  </cols>
  <sheetData>
    <row r="1" spans="1:10" x14ac:dyDescent="0.35">
      <c r="A1" t="s">
        <v>0</v>
      </c>
      <c r="B1">
        <v>1000</v>
      </c>
      <c r="E1" t="s">
        <v>0</v>
      </c>
      <c r="F1">
        <v>1000</v>
      </c>
      <c r="H1" t="s">
        <v>0</v>
      </c>
      <c r="I1">
        <v>1000</v>
      </c>
    </row>
    <row r="2" spans="1:10" x14ac:dyDescent="0.35">
      <c r="A2" t="s">
        <v>1</v>
      </c>
      <c r="B2" s="1">
        <v>0.04</v>
      </c>
      <c r="E2" t="s">
        <v>1</v>
      </c>
      <c r="F2" s="1">
        <v>0.04</v>
      </c>
      <c r="H2" t="s">
        <v>1</v>
      </c>
      <c r="I2" s="1">
        <v>0.04</v>
      </c>
    </row>
    <row r="3" spans="1:10" x14ac:dyDescent="0.35">
      <c r="A3" t="s">
        <v>2</v>
      </c>
      <c r="B3">
        <v>5</v>
      </c>
      <c r="C3" t="s">
        <v>3</v>
      </c>
      <c r="E3" t="s">
        <v>2</v>
      </c>
      <c r="F3">
        <v>10</v>
      </c>
      <c r="G3" t="s">
        <v>3</v>
      </c>
      <c r="H3" t="s">
        <v>2</v>
      </c>
      <c r="I3" t="s">
        <v>8</v>
      </c>
      <c r="J3" t="s">
        <v>3</v>
      </c>
    </row>
    <row r="4" spans="1:10" x14ac:dyDescent="0.35">
      <c r="A4" t="s">
        <v>4</v>
      </c>
      <c r="B4" s="1">
        <v>0.04</v>
      </c>
      <c r="E4" t="s">
        <v>4</v>
      </c>
      <c r="F4" s="1">
        <v>0.04</v>
      </c>
      <c r="H4" t="s">
        <v>4</v>
      </c>
      <c r="I4" s="1">
        <v>0.04</v>
      </c>
    </row>
    <row r="5" spans="1:10" x14ac:dyDescent="0.35">
      <c r="A5" t="s">
        <v>5</v>
      </c>
      <c r="B5">
        <f>(B1*B2)/B4*(1-1/(1+B4)^B3)</f>
        <v>178.07289324064845</v>
      </c>
      <c r="E5" t="s">
        <v>5</v>
      </c>
      <c r="F5">
        <f>(F1*F2)/F4*(1-1/(1+F4)^F3)</f>
        <v>324.4358311742015</v>
      </c>
      <c r="H5" t="s">
        <v>5</v>
      </c>
      <c r="I5">
        <f>(I1*I2)/I4</f>
        <v>1000</v>
      </c>
    </row>
    <row r="6" spans="1:10" x14ac:dyDescent="0.35">
      <c r="A6" t="s">
        <v>6</v>
      </c>
      <c r="B6">
        <f>B1/(1+B4)^B3</f>
        <v>821.92710675935155</v>
      </c>
      <c r="E6" t="s">
        <v>6</v>
      </c>
      <c r="F6">
        <f>F1/(1+F4)^F3</f>
        <v>675.56416882579856</v>
      </c>
      <c r="H6" t="s">
        <v>6</v>
      </c>
    </row>
    <row r="7" spans="1:10" x14ac:dyDescent="0.35">
      <c r="A7" t="s">
        <v>7</v>
      </c>
      <c r="B7">
        <f>B5+B6</f>
        <v>1000</v>
      </c>
      <c r="E7" t="s">
        <v>7</v>
      </c>
      <c r="F7">
        <f>F5+F6</f>
        <v>1000</v>
      </c>
      <c r="H7" t="s">
        <v>7</v>
      </c>
      <c r="I7">
        <f>I5+I6</f>
        <v>1000</v>
      </c>
    </row>
    <row r="9" spans="1:10" x14ac:dyDescent="0.35">
      <c r="A9" t="s">
        <v>0</v>
      </c>
      <c r="B9">
        <v>1000</v>
      </c>
      <c r="E9" t="s">
        <v>0</v>
      </c>
      <c r="F9">
        <v>1000</v>
      </c>
      <c r="H9" t="s">
        <v>0</v>
      </c>
      <c r="I9">
        <v>1000</v>
      </c>
    </row>
    <row r="10" spans="1:10" x14ac:dyDescent="0.35">
      <c r="A10" t="s">
        <v>1</v>
      </c>
      <c r="B10" s="1">
        <v>0.04</v>
      </c>
      <c r="E10" t="s">
        <v>1</v>
      </c>
      <c r="F10" s="1">
        <v>0.04</v>
      </c>
      <c r="H10" t="s">
        <v>1</v>
      </c>
      <c r="I10" s="1">
        <v>0.04</v>
      </c>
    </row>
    <row r="11" spans="1:10" x14ac:dyDescent="0.35">
      <c r="A11" t="s">
        <v>2</v>
      </c>
      <c r="B11">
        <v>5</v>
      </c>
      <c r="C11" t="s">
        <v>3</v>
      </c>
      <c r="E11" t="s">
        <v>2</v>
      </c>
      <c r="F11">
        <v>10</v>
      </c>
      <c r="G11" t="s">
        <v>3</v>
      </c>
      <c r="H11" t="s">
        <v>2</v>
      </c>
      <c r="I11" t="s">
        <v>8</v>
      </c>
      <c r="J11" t="s">
        <v>3</v>
      </c>
    </row>
    <row r="12" spans="1:10" x14ac:dyDescent="0.35">
      <c r="A12" t="s">
        <v>4</v>
      </c>
      <c r="B12" s="1">
        <v>0.02</v>
      </c>
      <c r="E12" t="s">
        <v>4</v>
      </c>
      <c r="F12" s="1">
        <v>0.02</v>
      </c>
      <c r="H12" t="s">
        <v>4</v>
      </c>
      <c r="I12" s="1">
        <v>0.02</v>
      </c>
    </row>
    <row r="13" spans="1:10" x14ac:dyDescent="0.35">
      <c r="A13" t="s">
        <v>5</v>
      </c>
      <c r="B13">
        <f>(B9*B10)/B12*(1-1/(1+B12)^B11)</f>
        <v>188.53838034016812</v>
      </c>
      <c r="E13" t="s">
        <v>5</v>
      </c>
      <c r="F13">
        <f>(F9*F10)/F12*(1-1/(1+F12)^F11)</f>
        <v>359.30340024968933</v>
      </c>
      <c r="H13" t="s">
        <v>5</v>
      </c>
      <c r="I13">
        <f>(I9*I10)/I12</f>
        <v>2000</v>
      </c>
    </row>
    <row r="14" spans="1:10" x14ac:dyDescent="0.35">
      <c r="A14" t="s">
        <v>6</v>
      </c>
      <c r="B14">
        <f>B9/(1+B12)^B11</f>
        <v>905.73080982991587</v>
      </c>
      <c r="E14" t="s">
        <v>6</v>
      </c>
      <c r="F14">
        <f>F9/(1+F12)^F11</f>
        <v>820.34829987515525</v>
      </c>
      <c r="H14" t="s">
        <v>6</v>
      </c>
    </row>
    <row r="15" spans="1:10" x14ac:dyDescent="0.35">
      <c r="A15" t="s">
        <v>7</v>
      </c>
      <c r="B15">
        <f>B13+B14</f>
        <v>1094.2691901700839</v>
      </c>
      <c r="E15" t="s">
        <v>7</v>
      </c>
      <c r="F15">
        <f>F13+F14</f>
        <v>1179.6517001248446</v>
      </c>
      <c r="H15" t="s">
        <v>7</v>
      </c>
      <c r="I15">
        <f>I13+I14</f>
        <v>2000</v>
      </c>
    </row>
    <row r="17" spans="1:10" x14ac:dyDescent="0.35">
      <c r="A17" t="s">
        <v>0</v>
      </c>
      <c r="B17">
        <v>1000</v>
      </c>
      <c r="E17" t="s">
        <v>0</v>
      </c>
      <c r="F17">
        <v>1000</v>
      </c>
      <c r="H17" t="s">
        <v>0</v>
      </c>
      <c r="I17">
        <v>1000</v>
      </c>
    </row>
    <row r="18" spans="1:10" x14ac:dyDescent="0.35">
      <c r="A18" t="s">
        <v>1</v>
      </c>
      <c r="B18" s="1">
        <v>0.04</v>
      </c>
      <c r="E18" t="s">
        <v>1</v>
      </c>
      <c r="F18" s="1">
        <v>0.04</v>
      </c>
      <c r="H18" t="s">
        <v>1</v>
      </c>
      <c r="I18" s="1">
        <v>0.04</v>
      </c>
    </row>
    <row r="19" spans="1:10" x14ac:dyDescent="0.35">
      <c r="A19" t="s">
        <v>2</v>
      </c>
      <c r="B19">
        <v>5</v>
      </c>
      <c r="C19" t="s">
        <v>3</v>
      </c>
      <c r="E19" t="s">
        <v>2</v>
      </c>
      <c r="F19">
        <v>10</v>
      </c>
      <c r="G19" t="s">
        <v>3</v>
      </c>
      <c r="H19" t="s">
        <v>2</v>
      </c>
      <c r="I19" t="s">
        <v>8</v>
      </c>
      <c r="J19" t="s">
        <v>3</v>
      </c>
    </row>
    <row r="20" spans="1:10" x14ac:dyDescent="0.35">
      <c r="A20" t="s">
        <v>4</v>
      </c>
      <c r="B20" s="1">
        <v>0.06</v>
      </c>
      <c r="E20" t="s">
        <v>4</v>
      </c>
      <c r="F20" s="1">
        <v>0.06</v>
      </c>
      <c r="H20" t="s">
        <v>4</v>
      </c>
      <c r="I20" s="1">
        <v>0.06</v>
      </c>
    </row>
    <row r="21" spans="1:10" x14ac:dyDescent="0.35">
      <c r="A21" t="s">
        <v>5</v>
      </c>
      <c r="B21">
        <f>(B17*B18)/B20*(1-1/(1+B20)^B19)</f>
        <v>168.49455142262875</v>
      </c>
      <c r="E21" t="s">
        <v>5</v>
      </c>
      <c r="F21">
        <f>(F17*F18)/F20*(1-1/(1+F20)^F19)</f>
        <v>294.40348205658813</v>
      </c>
      <c r="H21" t="s">
        <v>5</v>
      </c>
      <c r="I21">
        <f>(I17*I18)/I20</f>
        <v>666.66666666666674</v>
      </c>
    </row>
    <row r="22" spans="1:10" x14ac:dyDescent="0.35">
      <c r="A22" t="s">
        <v>6</v>
      </c>
      <c r="B22">
        <f>B17/(1+B20)^B19</f>
        <v>747.25817286605684</v>
      </c>
      <c r="E22" t="s">
        <v>6</v>
      </c>
      <c r="F22">
        <f>F17/(1+F20)^F19</f>
        <v>558.39477691511786</v>
      </c>
      <c r="H22" t="s">
        <v>6</v>
      </c>
    </row>
    <row r="23" spans="1:10" x14ac:dyDescent="0.35">
      <c r="A23" t="s">
        <v>7</v>
      </c>
      <c r="B23">
        <f>B21+B22</f>
        <v>915.75272428868561</v>
      </c>
      <c r="E23" t="s">
        <v>7</v>
      </c>
      <c r="F23">
        <f>F21+F22</f>
        <v>852.79825897170599</v>
      </c>
      <c r="H23" t="s">
        <v>7</v>
      </c>
      <c r="I23">
        <f>I21+I22</f>
        <v>666.66666666666674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2FC4D-CEA1-4314-8243-B70B24E85493}">
  <dimension ref="A1:L9"/>
  <sheetViews>
    <sheetView workbookViewId="0">
      <selection activeCell="K6" sqref="K6"/>
    </sheetView>
  </sheetViews>
  <sheetFormatPr defaultRowHeight="14.5" x14ac:dyDescent="0.35"/>
  <cols>
    <col min="1" max="1" width="21.81640625" customWidth="1"/>
    <col min="2" max="2" width="7.7265625" customWidth="1"/>
    <col min="3" max="3" width="5.26953125" customWidth="1"/>
    <col min="4" max="4" width="20.81640625" customWidth="1"/>
    <col min="5" max="5" width="7" customWidth="1"/>
    <col min="6" max="6" width="5.81640625" customWidth="1"/>
    <col min="7" max="7" width="21.6328125" customWidth="1"/>
    <col min="8" max="8" width="7" customWidth="1"/>
    <col min="9" max="9" width="5.90625" customWidth="1"/>
    <col min="10" max="10" width="19.81640625" customWidth="1"/>
    <col min="11" max="11" width="7.26953125" customWidth="1"/>
    <col min="12" max="12" width="6.26953125" customWidth="1"/>
  </cols>
  <sheetData>
    <row r="1" spans="1:12" x14ac:dyDescent="0.35">
      <c r="A1" t="s">
        <v>9</v>
      </c>
      <c r="B1">
        <v>400000</v>
      </c>
      <c r="D1" t="s">
        <v>9</v>
      </c>
      <c r="E1">
        <v>400000</v>
      </c>
      <c r="G1" t="s">
        <v>9</v>
      </c>
      <c r="H1">
        <v>400000</v>
      </c>
      <c r="J1" t="s">
        <v>9</v>
      </c>
      <c r="K1">
        <v>400000</v>
      </c>
    </row>
    <row r="2" spans="1:12" x14ac:dyDescent="0.35">
      <c r="A2" t="s">
        <v>10</v>
      </c>
      <c r="B2" s="1">
        <v>0.05</v>
      </c>
      <c r="D2" t="s">
        <v>10</v>
      </c>
      <c r="E2" s="1">
        <v>0.2</v>
      </c>
      <c r="G2" t="s">
        <v>10</v>
      </c>
      <c r="H2" s="1">
        <v>0.05</v>
      </c>
      <c r="J2" t="s">
        <v>10</v>
      </c>
      <c r="K2" s="1">
        <v>0.05</v>
      </c>
    </row>
    <row r="3" spans="1:12" x14ac:dyDescent="0.35">
      <c r="A3" t="s">
        <v>11</v>
      </c>
      <c r="B3">
        <f>B1*B2</f>
        <v>20000</v>
      </c>
      <c r="D3" t="s">
        <v>11</v>
      </c>
      <c r="E3">
        <f>E1*E2</f>
        <v>80000</v>
      </c>
      <c r="G3" t="s">
        <v>11</v>
      </c>
      <c r="H3">
        <f>H1*H2</f>
        <v>20000</v>
      </c>
      <c r="J3" t="s">
        <v>11</v>
      </c>
      <c r="K3">
        <f>K1*K2</f>
        <v>20000</v>
      </c>
    </row>
    <row r="4" spans="1:12" x14ac:dyDescent="0.35">
      <c r="A4" t="s">
        <v>12</v>
      </c>
      <c r="B4">
        <f>B1-B3</f>
        <v>380000</v>
      </c>
      <c r="D4" t="s">
        <v>12</v>
      </c>
      <c r="E4">
        <f>E1-E3</f>
        <v>320000</v>
      </c>
      <c r="G4" t="s">
        <v>12</v>
      </c>
      <c r="H4">
        <f>H1-H3</f>
        <v>380000</v>
      </c>
      <c r="J4" t="s">
        <v>12</v>
      </c>
      <c r="K4">
        <f>K1-K3</f>
        <v>380000</v>
      </c>
    </row>
    <row r="5" spans="1:12" x14ac:dyDescent="0.35">
      <c r="A5" t="s">
        <v>13</v>
      </c>
      <c r="B5" s="1">
        <v>0.06</v>
      </c>
      <c r="D5" t="s">
        <v>13</v>
      </c>
      <c r="E5" s="1">
        <v>0.06</v>
      </c>
      <c r="G5" t="s">
        <v>13</v>
      </c>
      <c r="H5" s="1">
        <v>0.06</v>
      </c>
      <c r="J5" t="s">
        <v>13</v>
      </c>
      <c r="K5" s="1">
        <v>0.03</v>
      </c>
    </row>
    <row r="6" spans="1:12" x14ac:dyDescent="0.35">
      <c r="A6" t="s">
        <v>14</v>
      </c>
      <c r="B6">
        <v>30</v>
      </c>
      <c r="C6" t="s">
        <v>18</v>
      </c>
      <c r="D6" t="s">
        <v>14</v>
      </c>
      <c r="E6">
        <v>30</v>
      </c>
      <c r="F6" t="s">
        <v>18</v>
      </c>
      <c r="G6" t="s">
        <v>14</v>
      </c>
      <c r="H6">
        <v>40</v>
      </c>
      <c r="I6" t="s">
        <v>18</v>
      </c>
      <c r="J6" t="s">
        <v>14</v>
      </c>
      <c r="K6">
        <v>30</v>
      </c>
      <c r="L6" t="s">
        <v>18</v>
      </c>
    </row>
    <row r="7" spans="1:12" x14ac:dyDescent="0.35">
      <c r="A7" t="s">
        <v>15</v>
      </c>
      <c r="B7">
        <f>B5/12</f>
        <v>5.0000000000000001E-3</v>
      </c>
      <c r="D7" t="s">
        <v>15</v>
      </c>
      <c r="E7">
        <f>E5/12</f>
        <v>5.0000000000000001E-3</v>
      </c>
      <c r="G7" t="s">
        <v>15</v>
      </c>
      <c r="H7">
        <f>H5/12</f>
        <v>5.0000000000000001E-3</v>
      </c>
      <c r="J7" t="s">
        <v>15</v>
      </c>
      <c r="K7">
        <f>K5/12</f>
        <v>2.5000000000000001E-3</v>
      </c>
    </row>
    <row r="8" spans="1:12" x14ac:dyDescent="0.35">
      <c r="A8" t="s">
        <v>16</v>
      </c>
      <c r="B8">
        <f>B6*12</f>
        <v>360</v>
      </c>
      <c r="D8" t="s">
        <v>16</v>
      </c>
      <c r="E8">
        <f>E6*12</f>
        <v>360</v>
      </c>
      <c r="G8" t="s">
        <v>16</v>
      </c>
      <c r="H8">
        <f>H6*12</f>
        <v>480</v>
      </c>
      <c r="J8" t="s">
        <v>16</v>
      </c>
      <c r="K8">
        <f>K6*12</f>
        <v>360</v>
      </c>
    </row>
    <row r="9" spans="1:12" x14ac:dyDescent="0.35">
      <c r="A9" t="s">
        <v>17</v>
      </c>
      <c r="B9">
        <f>B4*B7/(1-1/(1+B7)^B8)</f>
        <v>2278.2919955804841</v>
      </c>
      <c r="D9" t="s">
        <v>17</v>
      </c>
      <c r="E9">
        <f>E4*E7/(1-1/(1+E7)^E8)</f>
        <v>1918.5616804888286</v>
      </c>
      <c r="G9" t="s">
        <v>17</v>
      </c>
      <c r="H9">
        <f>H4*H7/(1-1/(1+H7)^H8)</f>
        <v>2090.8118342954067</v>
      </c>
      <c r="J9" t="s">
        <v>17</v>
      </c>
      <c r="K9">
        <f>K4*K7/(1-1/(1+K7)^K8)</f>
        <v>1602.0953281719292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870DE-7DA0-4230-964E-39AF7776FD45}">
  <dimension ref="A1:I15"/>
  <sheetViews>
    <sheetView tabSelected="1" workbookViewId="0">
      <selection activeCell="E10" sqref="E10"/>
    </sheetView>
  </sheetViews>
  <sheetFormatPr defaultRowHeight="14.5" x14ac:dyDescent="0.35"/>
  <cols>
    <col min="1" max="1" width="20.7265625" customWidth="1"/>
    <col min="2" max="3" width="5.453125" customWidth="1"/>
    <col min="4" max="4" width="8.1796875" customWidth="1"/>
    <col min="5" max="5" width="19.26953125" customWidth="1"/>
    <col min="6" max="6" width="5.54296875" customWidth="1"/>
    <col min="8" max="8" width="19.90625" customWidth="1"/>
    <col min="9" max="9" width="5.453125" customWidth="1"/>
  </cols>
  <sheetData>
    <row r="1" spans="1:9" x14ac:dyDescent="0.35">
      <c r="A1" t="s">
        <v>98</v>
      </c>
      <c r="E1" t="s">
        <v>99</v>
      </c>
      <c r="H1" t="s">
        <v>100</v>
      </c>
    </row>
    <row r="2" spans="1:9" x14ac:dyDescent="0.35">
      <c r="A2" t="s">
        <v>19</v>
      </c>
      <c r="B2">
        <v>2</v>
      </c>
      <c r="E2" t="s">
        <v>19</v>
      </c>
      <c r="F2">
        <v>3</v>
      </c>
      <c r="H2" t="s">
        <v>19</v>
      </c>
      <c r="I2">
        <v>3</v>
      </c>
    </row>
    <row r="3" spans="1:9" x14ac:dyDescent="0.35">
      <c r="A3" t="s">
        <v>20</v>
      </c>
      <c r="B3">
        <v>1</v>
      </c>
      <c r="E3" t="s">
        <v>20</v>
      </c>
      <c r="F3">
        <v>1</v>
      </c>
      <c r="H3" t="s">
        <v>20</v>
      </c>
      <c r="I3">
        <v>1</v>
      </c>
    </row>
    <row r="4" spans="1:9" x14ac:dyDescent="0.35">
      <c r="A4" t="s">
        <v>21</v>
      </c>
      <c r="B4" s="1">
        <v>0.6</v>
      </c>
      <c r="C4" s="1"/>
      <c r="E4" t="s">
        <v>21</v>
      </c>
      <c r="F4" s="1">
        <v>0.5</v>
      </c>
      <c r="H4" t="s">
        <v>21</v>
      </c>
      <c r="I4" s="1">
        <v>0.5</v>
      </c>
    </row>
    <row r="5" spans="1:9" x14ac:dyDescent="0.35">
      <c r="A5" t="s">
        <v>22</v>
      </c>
      <c r="B5">
        <v>0</v>
      </c>
      <c r="E5" t="s">
        <v>22</v>
      </c>
      <c r="F5" s="1">
        <v>0.1</v>
      </c>
      <c r="H5" t="s">
        <v>22</v>
      </c>
      <c r="I5" s="1">
        <v>0</v>
      </c>
    </row>
    <row r="6" spans="1:9" x14ac:dyDescent="0.35">
      <c r="A6" t="s">
        <v>23</v>
      </c>
      <c r="B6">
        <v>10</v>
      </c>
      <c r="E6" t="s">
        <v>23</v>
      </c>
      <c r="F6">
        <v>15</v>
      </c>
      <c r="H6" t="s">
        <v>23</v>
      </c>
      <c r="I6">
        <v>10</v>
      </c>
    </row>
    <row r="7" spans="1:9" x14ac:dyDescent="0.35">
      <c r="A7" t="s">
        <v>4</v>
      </c>
      <c r="B7" s="1">
        <v>0.12</v>
      </c>
      <c r="C7" s="1"/>
      <c r="E7" t="s">
        <v>4</v>
      </c>
      <c r="F7" s="1">
        <v>0.12</v>
      </c>
      <c r="H7" t="s">
        <v>4</v>
      </c>
      <c r="I7" s="1">
        <v>0.12</v>
      </c>
    </row>
    <row r="8" spans="1:9" x14ac:dyDescent="0.35">
      <c r="A8" t="s">
        <v>24</v>
      </c>
      <c r="B8">
        <f>B3*(1-B4)/B7*(1-1/(1+B7)^B6)-B2</f>
        <v>0.26008921136434671</v>
      </c>
      <c r="E8" t="s">
        <v>24</v>
      </c>
      <c r="F8">
        <f>F3*(1-F4)/(F7-F5)*(1-(1+F5)^F6/(1+F7)^F6)-F2</f>
        <v>2.9208094268759845</v>
      </c>
      <c r="H8" t="s">
        <v>24</v>
      </c>
      <c r="I8">
        <f>I3*(1-I4)/(I7-I5)*(1-(1+I5)^I6/(1+I7)^I6)-I2</f>
        <v>-0.17488848579456651</v>
      </c>
    </row>
    <row r="9" spans="1:9" x14ac:dyDescent="0.35">
      <c r="A9" t="s">
        <v>25</v>
      </c>
      <c r="B9">
        <f>B8+B2</f>
        <v>2.2600892113643467</v>
      </c>
      <c r="E9" t="s">
        <v>25</v>
      </c>
      <c r="F9">
        <f>F8+F2</f>
        <v>5.9208094268759845</v>
      </c>
      <c r="H9" t="s">
        <v>25</v>
      </c>
      <c r="I9">
        <f>I8+I2</f>
        <v>2.8251115142054335</v>
      </c>
    </row>
    <row r="11" spans="1:9" x14ac:dyDescent="0.35">
      <c r="A11" t="s">
        <v>26</v>
      </c>
      <c r="B11">
        <f>B9/(B9+F9)</f>
        <v>0.27626417479369725</v>
      </c>
      <c r="F11">
        <f>F9/(B9+F9)</f>
        <v>0.72373582520630275</v>
      </c>
    </row>
    <row r="13" spans="1:9" x14ac:dyDescent="0.35">
      <c r="A13" t="s">
        <v>27</v>
      </c>
      <c r="I13">
        <f>B9+I9</f>
        <v>5.0852007255697806</v>
      </c>
    </row>
    <row r="14" spans="1:9" x14ac:dyDescent="0.35">
      <c r="A14" t="s">
        <v>28</v>
      </c>
      <c r="B14">
        <f>I13*B11</f>
        <v>1.4048587821098459</v>
      </c>
      <c r="F14">
        <f>I13*F11</f>
        <v>3.6803419434599345</v>
      </c>
    </row>
    <row r="15" spans="1:9" x14ac:dyDescent="0.35">
      <c r="A15" t="s">
        <v>29</v>
      </c>
      <c r="B15">
        <f>B14-B2</f>
        <v>-0.59514121789015406</v>
      </c>
      <c r="F15">
        <f>F14-F2</f>
        <v>0.68034194345993448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DF864-105F-49E9-8962-13AAFDDAAA27}">
  <dimension ref="A1:B15"/>
  <sheetViews>
    <sheetView topLeftCell="A2" workbookViewId="0">
      <selection activeCell="A16" sqref="A16"/>
    </sheetView>
  </sheetViews>
  <sheetFormatPr defaultRowHeight="14.5" x14ac:dyDescent="0.35"/>
  <cols>
    <col min="1" max="1" width="32.7265625" customWidth="1"/>
    <col min="2" max="2" width="11.6328125" customWidth="1"/>
  </cols>
  <sheetData>
    <row r="1" spans="1:2" x14ac:dyDescent="0.35">
      <c r="A1" t="s">
        <v>30</v>
      </c>
      <c r="B1">
        <v>3</v>
      </c>
    </row>
    <row r="2" spans="1:2" x14ac:dyDescent="0.35">
      <c r="A2" t="s">
        <v>31</v>
      </c>
      <c r="B2">
        <v>100</v>
      </c>
    </row>
    <row r="3" spans="1:2" x14ac:dyDescent="0.35">
      <c r="A3" t="s">
        <v>7</v>
      </c>
      <c r="B3">
        <v>100</v>
      </c>
    </row>
    <row r="4" spans="1:2" x14ac:dyDescent="0.35">
      <c r="A4" t="s">
        <v>32</v>
      </c>
      <c r="B4">
        <v>10</v>
      </c>
    </row>
    <row r="5" spans="1:2" x14ac:dyDescent="0.35">
      <c r="A5" t="s">
        <v>33</v>
      </c>
      <c r="B5">
        <v>3</v>
      </c>
    </row>
    <row r="6" spans="1:2" x14ac:dyDescent="0.35">
      <c r="A6" t="s">
        <v>34</v>
      </c>
      <c r="B6">
        <v>60</v>
      </c>
    </row>
    <row r="7" spans="1:2" x14ac:dyDescent="0.35">
      <c r="A7" t="s">
        <v>35</v>
      </c>
      <c r="B7">
        <f>B1/B3</f>
        <v>0.03</v>
      </c>
    </row>
    <row r="8" spans="1:2" x14ac:dyDescent="0.35">
      <c r="A8" t="s">
        <v>36</v>
      </c>
      <c r="B8">
        <f>B5/B6</f>
        <v>0.05</v>
      </c>
    </row>
    <row r="9" spans="1:2" x14ac:dyDescent="0.35">
      <c r="A9" t="s">
        <v>37</v>
      </c>
      <c r="B9">
        <f>B3/(B3+B6)*B7+B6/(B3+B6)*B8</f>
        <v>3.7500000000000006E-2</v>
      </c>
    </row>
    <row r="10" spans="1:2" x14ac:dyDescent="0.35">
      <c r="A10" t="s">
        <v>38</v>
      </c>
      <c r="B10">
        <f>B1/B9*(1-1/(1+B9)^B4)</f>
        <v>24.63836175503943</v>
      </c>
    </row>
    <row r="11" spans="1:2" x14ac:dyDescent="0.35">
      <c r="A11" t="s">
        <v>39</v>
      </c>
      <c r="B11">
        <f>B2/(1+B9)^B4</f>
        <v>69.20204780620071</v>
      </c>
    </row>
    <row r="12" spans="1:2" x14ac:dyDescent="0.35">
      <c r="A12" t="s">
        <v>40</v>
      </c>
      <c r="B12">
        <f>B5/B9</f>
        <v>79.999999999999986</v>
      </c>
    </row>
    <row r="13" spans="1:2" x14ac:dyDescent="0.35">
      <c r="A13" t="s">
        <v>41</v>
      </c>
      <c r="B13">
        <f>B10+B11+B12</f>
        <v>173.84040956124011</v>
      </c>
    </row>
    <row r="14" spans="1:2" x14ac:dyDescent="0.35">
      <c r="A14" t="s">
        <v>42</v>
      </c>
      <c r="B14">
        <f>B3+B6</f>
        <v>160</v>
      </c>
    </row>
    <row r="15" spans="1:2" x14ac:dyDescent="0.35">
      <c r="A15" t="s">
        <v>43</v>
      </c>
      <c r="B15">
        <f>B13/B14</f>
        <v>1.0865025597577507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3024D-7679-41DD-A3C2-E2D7BB7BDB8D}">
  <dimension ref="A1:D41"/>
  <sheetViews>
    <sheetView topLeftCell="A38" workbookViewId="0">
      <selection activeCell="A16" sqref="A16:D52"/>
    </sheetView>
  </sheetViews>
  <sheetFormatPr defaultRowHeight="14.5" x14ac:dyDescent="0.35"/>
  <cols>
    <col min="1" max="1" width="45.6328125" customWidth="1"/>
    <col min="3" max="3" width="14.453125" customWidth="1"/>
  </cols>
  <sheetData>
    <row r="1" spans="1:4" x14ac:dyDescent="0.35">
      <c r="A1" t="s">
        <v>44</v>
      </c>
      <c r="B1" s="1">
        <v>0.1</v>
      </c>
      <c r="C1" t="s">
        <v>55</v>
      </c>
      <c r="D1">
        <f>B5/(B5+B9)*B2+B9/(B5+B9)*B10</f>
        <v>9.9999999999965408E-2</v>
      </c>
    </row>
    <row r="2" spans="1:4" x14ac:dyDescent="0.35">
      <c r="A2" t="s">
        <v>45</v>
      </c>
      <c r="B2" s="1">
        <v>0.06</v>
      </c>
    </row>
    <row r="3" spans="1:4" x14ac:dyDescent="0.35">
      <c r="A3" t="s">
        <v>46</v>
      </c>
      <c r="B3" s="1">
        <v>0.4</v>
      </c>
    </row>
    <row r="4" spans="1:4" x14ac:dyDescent="0.35">
      <c r="A4" t="s">
        <v>48</v>
      </c>
      <c r="B4" s="2">
        <v>1</v>
      </c>
      <c r="C4" t="s">
        <v>47</v>
      </c>
    </row>
    <row r="5" spans="1:4" x14ac:dyDescent="0.35">
      <c r="A5" t="s">
        <v>49</v>
      </c>
      <c r="B5" s="2">
        <v>3</v>
      </c>
    </row>
    <row r="6" spans="1:4" x14ac:dyDescent="0.35">
      <c r="A6" t="s">
        <v>54</v>
      </c>
      <c r="B6">
        <f>B5*B2*B3</f>
        <v>7.1999999999999995E-2</v>
      </c>
    </row>
    <row r="7" spans="1:4" x14ac:dyDescent="0.35">
      <c r="A7" t="s">
        <v>56</v>
      </c>
      <c r="B7" s="2">
        <f>B4+B6</f>
        <v>1.0720000000000001</v>
      </c>
    </row>
    <row r="8" spans="1:4" x14ac:dyDescent="0.35">
      <c r="A8" t="s">
        <v>57</v>
      </c>
      <c r="B8" s="2">
        <f>B7/B1</f>
        <v>10.72</v>
      </c>
    </row>
    <row r="9" spans="1:4" x14ac:dyDescent="0.35">
      <c r="A9" t="s">
        <v>50</v>
      </c>
      <c r="B9" s="2">
        <f>B8-B5</f>
        <v>7.7200000000000006</v>
      </c>
    </row>
    <row r="10" spans="1:4" x14ac:dyDescent="0.35">
      <c r="A10" t="s">
        <v>51</v>
      </c>
      <c r="B10" s="3">
        <v>0.11554404145072918</v>
      </c>
    </row>
    <row r="11" spans="1:4" x14ac:dyDescent="0.35">
      <c r="A11" t="s">
        <v>52</v>
      </c>
      <c r="B11" s="2">
        <f>B5/(B5+B9)*B2*(1-B3)+B9/(B5+B9)*B10</f>
        <v>9.3283582089517647E-2</v>
      </c>
    </row>
    <row r="13" spans="1:4" x14ac:dyDescent="0.35">
      <c r="A13" t="s">
        <v>53</v>
      </c>
      <c r="B13">
        <f>B4/B11</f>
        <v>10.720000000003974</v>
      </c>
    </row>
    <row r="16" spans="1:4" x14ac:dyDescent="0.35">
      <c r="A16" t="s">
        <v>58</v>
      </c>
      <c r="B16">
        <v>18</v>
      </c>
    </row>
    <row r="17" spans="1:4" x14ac:dyDescent="0.35">
      <c r="A17" t="s">
        <v>59</v>
      </c>
      <c r="B17">
        <v>4</v>
      </c>
    </row>
    <row r="18" spans="1:4" x14ac:dyDescent="0.35">
      <c r="A18" t="s">
        <v>60</v>
      </c>
      <c r="B18" s="1">
        <v>0.08</v>
      </c>
    </row>
    <row r="19" spans="1:4" x14ac:dyDescent="0.35">
      <c r="A19" t="s">
        <v>46</v>
      </c>
      <c r="B19" s="1">
        <v>0.4</v>
      </c>
    </row>
    <row r="20" spans="1:4" x14ac:dyDescent="0.35">
      <c r="A20" t="s">
        <v>61</v>
      </c>
      <c r="B20">
        <v>1</v>
      </c>
    </row>
    <row r="21" spans="1:4" x14ac:dyDescent="0.35">
      <c r="A21" t="s">
        <v>63</v>
      </c>
      <c r="B21" s="1">
        <v>0.06</v>
      </c>
    </row>
    <row r="22" spans="1:4" x14ac:dyDescent="0.35">
      <c r="A22" t="s">
        <v>64</v>
      </c>
      <c r="B22" s="1">
        <v>0.1</v>
      </c>
    </row>
    <row r="23" spans="1:4" x14ac:dyDescent="0.35">
      <c r="A23" t="s">
        <v>62</v>
      </c>
      <c r="B23">
        <f>B16/(1+B18)</f>
        <v>16.666666666666664</v>
      </c>
      <c r="C23" t="s">
        <v>71</v>
      </c>
      <c r="D23">
        <f>B23+B26/(1+B$18)</f>
        <v>16.851851851851848</v>
      </c>
    </row>
    <row r="24" spans="1:4" x14ac:dyDescent="0.35">
      <c r="A24" t="s">
        <v>65</v>
      </c>
      <c r="B24">
        <f>B23/2</f>
        <v>8.3333333333333321</v>
      </c>
    </row>
    <row r="25" spans="1:4" x14ac:dyDescent="0.35">
      <c r="A25" t="s">
        <v>67</v>
      </c>
      <c r="B25">
        <f>B24*B21</f>
        <v>0.49999999999999989</v>
      </c>
    </row>
    <row r="26" spans="1:4" x14ac:dyDescent="0.35">
      <c r="A26" t="s">
        <v>66</v>
      </c>
      <c r="B26">
        <f>B25*B19</f>
        <v>0.19999999999999996</v>
      </c>
    </row>
    <row r="28" spans="1:4" x14ac:dyDescent="0.35">
      <c r="A28" t="s">
        <v>68</v>
      </c>
      <c r="B28">
        <f>B$16/(1+B$18)+D$23/(1+B$18)</f>
        <v>32.270233196159111</v>
      </c>
      <c r="C28" t="s">
        <v>71</v>
      </c>
      <c r="D28">
        <f>B28+B31/(1+B$18)</f>
        <v>32.628791342783103</v>
      </c>
    </row>
    <row r="29" spans="1:4" x14ac:dyDescent="0.35">
      <c r="A29" t="s">
        <v>65</v>
      </c>
      <c r="B29">
        <f>B28/2</f>
        <v>16.135116598079556</v>
      </c>
    </row>
    <row r="30" spans="1:4" x14ac:dyDescent="0.35">
      <c r="A30" t="s">
        <v>67</v>
      </c>
      <c r="B30">
        <f>B29*B$21</f>
        <v>0.96810699588477334</v>
      </c>
    </row>
    <row r="31" spans="1:4" x14ac:dyDescent="0.35">
      <c r="A31" t="s">
        <v>66</v>
      </c>
      <c r="B31">
        <f>B30*B$19</f>
        <v>0.38724279835390935</v>
      </c>
    </row>
    <row r="33" spans="1:4" x14ac:dyDescent="0.35">
      <c r="A33" t="s">
        <v>69</v>
      </c>
      <c r="B33">
        <f>B$16/(1+B$18)+D$28/(1+B$18)</f>
        <v>46.878510502576944</v>
      </c>
      <c r="C33" t="s">
        <v>71</v>
      </c>
      <c r="D33">
        <f>B33+B36/(1+B$18)</f>
        <v>47.399382841494464</v>
      </c>
    </row>
    <row r="34" spans="1:4" x14ac:dyDescent="0.35">
      <c r="A34" t="s">
        <v>65</v>
      </c>
      <c r="B34">
        <f>B33/2</f>
        <v>23.439255251288472</v>
      </c>
    </row>
    <row r="35" spans="1:4" x14ac:dyDescent="0.35">
      <c r="A35" t="s">
        <v>67</v>
      </c>
      <c r="B35">
        <f>B34*B$21</f>
        <v>1.4063553150773083</v>
      </c>
    </row>
    <row r="36" spans="1:4" x14ac:dyDescent="0.35">
      <c r="A36" t="s">
        <v>66</v>
      </c>
      <c r="B36">
        <f>B35*B$19</f>
        <v>0.56254212603092335</v>
      </c>
    </row>
    <row r="38" spans="1:4" x14ac:dyDescent="0.35">
      <c r="A38" t="s">
        <v>70</v>
      </c>
      <c r="B38">
        <f>B$16/(1+B$18)+D$33/(1+B$18)</f>
        <v>60.554984112494871</v>
      </c>
      <c r="C38" t="s">
        <v>71</v>
      </c>
      <c r="D38">
        <f>B38+B41/(1+B$18)</f>
        <v>61.227817269300367</v>
      </c>
    </row>
    <row r="39" spans="1:4" x14ac:dyDescent="0.35">
      <c r="A39" t="s">
        <v>65</v>
      </c>
      <c r="B39">
        <f>B38/2</f>
        <v>30.277492056247436</v>
      </c>
    </row>
    <row r="40" spans="1:4" x14ac:dyDescent="0.35">
      <c r="A40" t="s">
        <v>67</v>
      </c>
      <c r="B40">
        <f>B39*B$21</f>
        <v>1.8166495233748461</v>
      </c>
    </row>
    <row r="41" spans="1:4" x14ac:dyDescent="0.35">
      <c r="A41" t="s">
        <v>66</v>
      </c>
      <c r="B41">
        <f>B40*B$19</f>
        <v>0.72665980934993846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B2DB-4E8F-4C7F-9DB0-BA11429B50DF}">
  <dimension ref="A1:H26"/>
  <sheetViews>
    <sheetView workbookViewId="0">
      <selection activeCell="H3" sqref="H3"/>
    </sheetView>
  </sheetViews>
  <sheetFormatPr defaultRowHeight="14.5" x14ac:dyDescent="0.35"/>
  <cols>
    <col min="1" max="1" width="48.90625" customWidth="1"/>
    <col min="2" max="3" width="10.7265625" customWidth="1"/>
    <col min="5" max="5" width="11.7265625" customWidth="1"/>
    <col min="7" max="7" width="20.6328125" customWidth="1"/>
  </cols>
  <sheetData>
    <row r="1" spans="1:8" x14ac:dyDescent="0.35">
      <c r="A1" t="s">
        <v>58</v>
      </c>
      <c r="B1">
        <v>18</v>
      </c>
      <c r="D1">
        <v>18</v>
      </c>
      <c r="G1" t="s">
        <v>72</v>
      </c>
      <c r="H1">
        <f>0.5*B6*(1-B4)+0.5*B7</f>
        <v>6.8000000000000005E-2</v>
      </c>
    </row>
    <row r="2" spans="1:8" x14ac:dyDescent="0.35">
      <c r="A2" t="s">
        <v>59</v>
      </c>
      <c r="B2">
        <v>4</v>
      </c>
      <c r="D2">
        <v>4</v>
      </c>
      <c r="G2" t="s">
        <v>73</v>
      </c>
      <c r="H2">
        <f>B1/H1*(1-1/(1+H1)^4)</f>
        <v>61.246097169033085</v>
      </c>
    </row>
    <row r="3" spans="1:8" x14ac:dyDescent="0.35">
      <c r="A3" t="s">
        <v>60</v>
      </c>
      <c r="B3" s="1">
        <v>0.08</v>
      </c>
      <c r="C3" s="1"/>
      <c r="D3" s="1">
        <v>0.08</v>
      </c>
    </row>
    <row r="4" spans="1:8" x14ac:dyDescent="0.35">
      <c r="A4" t="s">
        <v>46</v>
      </c>
      <c r="B4" s="1">
        <v>0.4</v>
      </c>
      <c r="C4" s="1"/>
      <c r="D4" s="1">
        <v>0.4</v>
      </c>
    </row>
    <row r="5" spans="1:8" x14ac:dyDescent="0.35">
      <c r="A5" t="s">
        <v>61</v>
      </c>
      <c r="B5">
        <v>1</v>
      </c>
      <c r="D5">
        <v>1</v>
      </c>
    </row>
    <row r="6" spans="1:8" x14ac:dyDescent="0.35">
      <c r="A6" t="s">
        <v>63</v>
      </c>
      <c r="B6" s="1">
        <v>0.06</v>
      </c>
      <c r="C6" s="1"/>
      <c r="D6" s="1">
        <v>0.06</v>
      </c>
    </row>
    <row r="7" spans="1:8" x14ac:dyDescent="0.35">
      <c r="A7" t="s">
        <v>64</v>
      </c>
      <c r="B7" s="1">
        <v>0.1</v>
      </c>
      <c r="C7" s="1"/>
      <c r="D7" s="1">
        <v>0.1</v>
      </c>
    </row>
    <row r="8" spans="1:8" x14ac:dyDescent="0.35">
      <c r="A8" t="s">
        <v>62</v>
      </c>
      <c r="B8">
        <f>B1/(1+B3)</f>
        <v>16.666666666666664</v>
      </c>
      <c r="D8">
        <f>D1/(1+D3)</f>
        <v>16.666666666666664</v>
      </c>
      <c r="E8" t="s">
        <v>71</v>
      </c>
      <c r="F8">
        <f>D8+D11/(1+D$3)</f>
        <v>16.851851851851848</v>
      </c>
    </row>
    <row r="9" spans="1:8" x14ac:dyDescent="0.35">
      <c r="A9" t="s">
        <v>65</v>
      </c>
      <c r="B9">
        <f>B8/2</f>
        <v>8.3333333333333321</v>
      </c>
      <c r="D9">
        <f>D8/2</f>
        <v>8.3333333333333321</v>
      </c>
    </row>
    <row r="10" spans="1:8" x14ac:dyDescent="0.35">
      <c r="A10" t="s">
        <v>67</v>
      </c>
      <c r="B10">
        <f>B9*B6</f>
        <v>0.49999999999999989</v>
      </c>
      <c r="D10">
        <f>D9*D6</f>
        <v>0.49999999999999989</v>
      </c>
    </row>
    <row r="11" spans="1:8" x14ac:dyDescent="0.35">
      <c r="A11" t="s">
        <v>66</v>
      </c>
      <c r="B11">
        <f>B10*B4</f>
        <v>0.19999999999999996</v>
      </c>
      <c r="D11">
        <f>D10*D4</f>
        <v>0.19999999999999996</v>
      </c>
    </row>
    <row r="13" spans="1:8" x14ac:dyDescent="0.35">
      <c r="A13" t="s">
        <v>68</v>
      </c>
      <c r="B13">
        <f>B$1/(1+B$3)+B$8/(1+B$3)</f>
        <v>32.098765432098759</v>
      </c>
      <c r="D13">
        <f>D$1/(1+D$3)+F$8/(1+D$3)</f>
        <v>32.270233196159111</v>
      </c>
      <c r="E13" t="s">
        <v>71</v>
      </c>
      <c r="F13">
        <f>D13+D16/(1+D$3)</f>
        <v>32.628791342783103</v>
      </c>
    </row>
    <row r="14" spans="1:8" x14ac:dyDescent="0.35">
      <c r="A14" t="s">
        <v>65</v>
      </c>
      <c r="B14">
        <f>B13/2</f>
        <v>16.049382716049379</v>
      </c>
      <c r="D14">
        <f>D13/2</f>
        <v>16.135116598079556</v>
      </c>
    </row>
    <row r="15" spans="1:8" x14ac:dyDescent="0.35">
      <c r="A15" t="s">
        <v>67</v>
      </c>
      <c r="B15">
        <f>B14*B$6</f>
        <v>0.96296296296296269</v>
      </c>
      <c r="D15">
        <f>D14*D$6</f>
        <v>0.96810699588477334</v>
      </c>
    </row>
    <row r="16" spans="1:8" x14ac:dyDescent="0.35">
      <c r="A16" t="s">
        <v>66</v>
      </c>
      <c r="B16">
        <f>B15*B$4</f>
        <v>0.38518518518518507</v>
      </c>
      <c r="D16">
        <f>D15*D$4</f>
        <v>0.38724279835390935</v>
      </c>
    </row>
    <row r="18" spans="1:6" x14ac:dyDescent="0.35">
      <c r="A18" t="s">
        <v>69</v>
      </c>
      <c r="B18">
        <f>B$1/(1+B$3)+B$13/(1+B$3)</f>
        <v>46.387745770461805</v>
      </c>
      <c r="D18">
        <f>D$1/(1+D$3)+F$13/(1+D$3)</f>
        <v>46.878510502576944</v>
      </c>
      <c r="E18" t="s">
        <v>71</v>
      </c>
      <c r="F18">
        <f>D18+D21/(1+D$3)</f>
        <v>47.399382841494464</v>
      </c>
    </row>
    <row r="19" spans="1:6" x14ac:dyDescent="0.35">
      <c r="A19" t="s">
        <v>65</v>
      </c>
      <c r="B19">
        <f>B18/2</f>
        <v>23.193872885230903</v>
      </c>
      <c r="D19">
        <f>D18/2</f>
        <v>23.439255251288472</v>
      </c>
    </row>
    <row r="20" spans="1:6" x14ac:dyDescent="0.35">
      <c r="A20" t="s">
        <v>67</v>
      </c>
      <c r="B20">
        <f>B19*B$6</f>
        <v>1.391632373113854</v>
      </c>
      <c r="D20">
        <f>D19*D$6</f>
        <v>1.4063553150773083</v>
      </c>
    </row>
    <row r="21" spans="1:6" x14ac:dyDescent="0.35">
      <c r="A21" t="s">
        <v>66</v>
      </c>
      <c r="B21">
        <f>B20*B$4</f>
        <v>0.55665294924554165</v>
      </c>
      <c r="D21">
        <f>D20*D$4</f>
        <v>0.56254212603092335</v>
      </c>
    </row>
    <row r="23" spans="1:6" x14ac:dyDescent="0.35">
      <c r="A23" t="s">
        <v>70</v>
      </c>
      <c r="B23">
        <f>B$1/(1+B$3)+B$18/(1+B$3)</f>
        <v>59.618283120797962</v>
      </c>
      <c r="D23">
        <f>D$1/(1+D$3)+F$18/(1+D$3)</f>
        <v>60.554984112494871</v>
      </c>
      <c r="E23" t="s">
        <v>71</v>
      </c>
      <c r="F23">
        <f>D23+D26/(1+D$3)</f>
        <v>61.227817269300367</v>
      </c>
    </row>
    <row r="24" spans="1:6" x14ac:dyDescent="0.35">
      <c r="A24" t="s">
        <v>65</v>
      </c>
      <c r="B24">
        <f>B23/2</f>
        <v>29.809141560398981</v>
      </c>
      <c r="D24">
        <f>D23/2</f>
        <v>30.277492056247436</v>
      </c>
    </row>
    <row r="25" spans="1:6" x14ac:dyDescent="0.35">
      <c r="A25" t="s">
        <v>67</v>
      </c>
      <c r="B25">
        <f>B24*B$6</f>
        <v>1.7885484936239389</v>
      </c>
      <c r="D25">
        <f>D24*D$6</f>
        <v>1.8166495233748461</v>
      </c>
    </row>
    <row r="26" spans="1:6" x14ac:dyDescent="0.35">
      <c r="A26" t="s">
        <v>66</v>
      </c>
      <c r="B26">
        <f>B25*B$4</f>
        <v>0.71541939744957561</v>
      </c>
      <c r="D26">
        <f>D25*D$4</f>
        <v>0.72665980934993846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78BB-9C82-4BE1-B3C2-ACC32BC566F9}">
  <dimension ref="A1:H47"/>
  <sheetViews>
    <sheetView topLeftCell="A34" workbookViewId="0">
      <selection activeCell="E48" sqref="E48"/>
    </sheetView>
  </sheetViews>
  <sheetFormatPr defaultRowHeight="14.5" x14ac:dyDescent="0.35"/>
  <cols>
    <col min="4" max="4" width="45.54296875" customWidth="1"/>
  </cols>
  <sheetData>
    <row r="1" spans="1:7" x14ac:dyDescent="0.35">
      <c r="A1" t="s">
        <v>74</v>
      </c>
    </row>
    <row r="2" spans="1:7" x14ac:dyDescent="0.35">
      <c r="A2" t="s">
        <v>75</v>
      </c>
      <c r="B2">
        <v>42</v>
      </c>
    </row>
    <row r="3" spans="1:7" x14ac:dyDescent="0.35">
      <c r="A3" t="s">
        <v>76</v>
      </c>
      <c r="B3">
        <v>40</v>
      </c>
    </row>
    <row r="4" spans="1:7" x14ac:dyDescent="0.35">
      <c r="A4" t="s">
        <v>77</v>
      </c>
      <c r="B4">
        <v>0.5</v>
      </c>
    </row>
    <row r="5" spans="1:7" x14ac:dyDescent="0.35">
      <c r="A5" t="s">
        <v>78</v>
      </c>
      <c r="B5" s="1">
        <v>0.06</v>
      </c>
    </row>
    <row r="6" spans="1:7" x14ac:dyDescent="0.35">
      <c r="A6" t="s">
        <v>79</v>
      </c>
      <c r="B6" s="1">
        <v>0.25</v>
      </c>
    </row>
    <row r="7" spans="1:7" x14ac:dyDescent="0.35">
      <c r="A7" t="s">
        <v>80</v>
      </c>
      <c r="B7" s="4">
        <f>(LN(B2/B3)+(B5+1/2*B6^2)*B4)/(B6*SQRT(B4))</f>
        <v>0.53409282264837232</v>
      </c>
    </row>
    <row r="8" spans="1:7" x14ac:dyDescent="0.35">
      <c r="A8" t="s">
        <v>81</v>
      </c>
      <c r="B8" s="4">
        <f>(LN(B2/B3)+(B5-1/2*B6^2)*B4)/(B6*SQRT(B4))</f>
        <v>0.35731612735173551</v>
      </c>
    </row>
    <row r="9" spans="1:7" x14ac:dyDescent="0.35">
      <c r="A9" t="s">
        <v>82</v>
      </c>
      <c r="B9" s="4">
        <f>B2*_xlfn.NORM.S.DIST(B7,TRUE)-B3*EXP(-B5*B4)*_xlfn.NORM.S.DIST(B8,TRUE)</f>
        <v>4.7143684057098838</v>
      </c>
    </row>
    <row r="10" spans="1:7" x14ac:dyDescent="0.35">
      <c r="A10" t="s">
        <v>83</v>
      </c>
      <c r="B10" s="4">
        <f>B3*EXP(-B5*B4)*_xlfn.NORM.S.DIST(-B8,TRUE)-B2*_xlfn.NORM.S.DIST(-B7,TRUE)</f>
        <v>1.5321897476502073</v>
      </c>
    </row>
    <row r="12" spans="1:7" x14ac:dyDescent="0.35">
      <c r="A12" t="s">
        <v>84</v>
      </c>
    </row>
    <row r="13" spans="1:7" x14ac:dyDescent="0.35">
      <c r="A13" t="s">
        <v>87</v>
      </c>
      <c r="B13">
        <f>E13-E14*EXP(-E15/12*B16)-E14*EXP(-F15/12*B16)</f>
        <v>29.020172149893902</v>
      </c>
      <c r="D13" t="s">
        <v>75</v>
      </c>
      <c r="E13">
        <v>30</v>
      </c>
    </row>
    <row r="14" spans="1:7" x14ac:dyDescent="0.35">
      <c r="A14" t="s">
        <v>76</v>
      </c>
      <c r="B14">
        <v>30</v>
      </c>
      <c r="D14" t="s">
        <v>33</v>
      </c>
      <c r="E14">
        <v>0.5</v>
      </c>
    </row>
    <row r="15" spans="1:7" x14ac:dyDescent="0.35">
      <c r="A15" t="s">
        <v>77</v>
      </c>
      <c r="B15">
        <v>0.5</v>
      </c>
      <c r="D15" t="s">
        <v>85</v>
      </c>
      <c r="E15">
        <v>2</v>
      </c>
      <c r="F15">
        <v>5</v>
      </c>
      <c r="G15" t="s">
        <v>86</v>
      </c>
    </row>
    <row r="16" spans="1:7" x14ac:dyDescent="0.35">
      <c r="A16" t="s">
        <v>78</v>
      </c>
      <c r="B16" s="1">
        <v>7.0000000000000007E-2</v>
      </c>
    </row>
    <row r="17" spans="1:7" x14ac:dyDescent="0.35">
      <c r="A17" t="s">
        <v>79</v>
      </c>
      <c r="B17" s="1">
        <v>0.25</v>
      </c>
    </row>
    <row r="18" spans="1:7" x14ac:dyDescent="0.35">
      <c r="A18" t="s">
        <v>80</v>
      </c>
      <c r="B18" s="4">
        <f>(LN(B13/B14)+(B16+1/2*B17^2)*B15)/(B17*SQRT(B15))</f>
        <v>9.8535600856144406E-2</v>
      </c>
    </row>
    <row r="19" spans="1:7" x14ac:dyDescent="0.35">
      <c r="A19" t="s">
        <v>81</v>
      </c>
      <c r="B19" s="4">
        <f>(LN(B13/B14)+(B16-1/2*B17^2)*B15)/(B17*SQRT(B15))</f>
        <v>-7.8241094440492459E-2</v>
      </c>
    </row>
    <row r="20" spans="1:7" x14ac:dyDescent="0.35">
      <c r="A20" t="s">
        <v>82</v>
      </c>
      <c r="B20" s="4">
        <f>B13*_xlfn.NORM.S.DIST(B18,TRUE)-B14*EXP(-B16*B15)*_xlfn.NORM.S.DIST(B19,TRUE)</f>
        <v>2.0682262383716488</v>
      </c>
    </row>
    <row r="21" spans="1:7" x14ac:dyDescent="0.35">
      <c r="B21" s="4"/>
    </row>
    <row r="22" spans="1:7" x14ac:dyDescent="0.35">
      <c r="A22" t="s">
        <v>88</v>
      </c>
    </row>
    <row r="23" spans="1:7" x14ac:dyDescent="0.35">
      <c r="A23" t="s">
        <v>75</v>
      </c>
      <c r="B23">
        <v>20</v>
      </c>
      <c r="D23" t="s">
        <v>89</v>
      </c>
      <c r="E23">
        <v>10000</v>
      </c>
    </row>
    <row r="24" spans="1:7" x14ac:dyDescent="0.35">
      <c r="A24" t="s">
        <v>76</v>
      </c>
      <c r="B24">
        <v>20</v>
      </c>
      <c r="D24" t="s">
        <v>90</v>
      </c>
      <c r="E24">
        <f>E23/B30</f>
        <v>5464.8400739788976</v>
      </c>
    </row>
    <row r="25" spans="1:7" x14ac:dyDescent="0.35">
      <c r="A25" t="s">
        <v>77</v>
      </c>
      <c r="B25">
        <v>0.5</v>
      </c>
      <c r="D25" t="s">
        <v>91</v>
      </c>
      <c r="E25">
        <f>E23/B31</f>
        <v>6526.9102555970576</v>
      </c>
    </row>
    <row r="26" spans="1:7" x14ac:dyDescent="0.35">
      <c r="A26" t="s">
        <v>78</v>
      </c>
      <c r="B26" s="1">
        <v>0.03</v>
      </c>
    </row>
    <row r="27" spans="1:7" x14ac:dyDescent="0.35">
      <c r="A27" t="s">
        <v>79</v>
      </c>
      <c r="B27" s="1">
        <v>0.3</v>
      </c>
      <c r="D27" t="s">
        <v>92</v>
      </c>
      <c r="E27">
        <v>20</v>
      </c>
      <c r="F27">
        <v>15</v>
      </c>
      <c r="G27">
        <v>30</v>
      </c>
    </row>
    <row r="28" spans="1:7" x14ac:dyDescent="0.35">
      <c r="A28" t="s">
        <v>80</v>
      </c>
      <c r="B28" s="4">
        <f>(LN(B23/B24)+(B26+1/2*B27^2)*B25)/(B27*SQRT(B25))</f>
        <v>0.17677669529663687</v>
      </c>
      <c r="D28" t="s">
        <v>93</v>
      </c>
      <c r="E28">
        <f>$E23*E27/$B23</f>
        <v>10000</v>
      </c>
      <c r="F28">
        <f t="shared" ref="F28:G28" si="0">$E23*F27/$B23</f>
        <v>7500</v>
      </c>
      <c r="G28">
        <f t="shared" si="0"/>
        <v>15000</v>
      </c>
    </row>
    <row r="29" spans="1:7" x14ac:dyDescent="0.35">
      <c r="A29" t="s">
        <v>81</v>
      </c>
      <c r="B29" s="4">
        <f>(LN(B23/B24)+(B26-1/2*B27^2)*B25)/(B27*SQRT(B25))</f>
        <v>-3.5355339059327376E-2</v>
      </c>
      <c r="D29" t="s">
        <v>94</v>
      </c>
      <c r="E29">
        <v>0</v>
      </c>
      <c r="F29">
        <v>0</v>
      </c>
      <c r="G29">
        <f>E24*(G27-B24)</f>
        <v>54648.40073978898</v>
      </c>
    </row>
    <row r="30" spans="1:7" x14ac:dyDescent="0.35">
      <c r="A30" t="s">
        <v>82</v>
      </c>
      <c r="B30" s="4">
        <f>B23*_xlfn.NORM.S.DIST(B28,TRUE)-B24*EXP(-B26*B25)*_xlfn.NORM.S.DIST(B29,TRUE)</f>
        <v>1.8298797155319306</v>
      </c>
      <c r="D30" t="s">
        <v>95</v>
      </c>
      <c r="E30">
        <v>0</v>
      </c>
      <c r="F30">
        <f>E25*(B24-F27)</f>
        <v>32634.551277985287</v>
      </c>
      <c r="G30">
        <v>0</v>
      </c>
    </row>
    <row r="31" spans="1:7" x14ac:dyDescent="0.35">
      <c r="A31" t="s">
        <v>83</v>
      </c>
      <c r="B31" s="4">
        <f>B24*EXP(-B26*B25)*_xlfn.NORM.S.DIST(-B29,TRUE)-B23*_xlfn.NORM.S.DIST(-B28,TRUE)</f>
        <v>1.5321185075931822</v>
      </c>
      <c r="D31" t="s">
        <v>96</v>
      </c>
      <c r="E31">
        <v>30000</v>
      </c>
      <c r="F31">
        <f>E31-F30</f>
        <v>-2634.551277985287</v>
      </c>
      <c r="G31">
        <f>E31-G29</f>
        <v>-24648.40073978898</v>
      </c>
    </row>
    <row r="33" spans="1:8" x14ac:dyDescent="0.35">
      <c r="A33" t="s">
        <v>97</v>
      </c>
    </row>
    <row r="34" spans="1:8" x14ac:dyDescent="0.35">
      <c r="A34" t="s">
        <v>75</v>
      </c>
      <c r="B34">
        <v>100</v>
      </c>
      <c r="D34" t="s">
        <v>75</v>
      </c>
      <c r="E34">
        <v>100</v>
      </c>
      <c r="G34" t="s">
        <v>75</v>
      </c>
      <c r="H34">
        <v>100</v>
      </c>
    </row>
    <row r="35" spans="1:8" x14ac:dyDescent="0.35">
      <c r="A35" t="s">
        <v>76</v>
      </c>
      <c r="B35">
        <v>100</v>
      </c>
      <c r="D35" t="s">
        <v>76</v>
      </c>
      <c r="E35">
        <v>110</v>
      </c>
      <c r="G35" t="s">
        <v>76</v>
      </c>
      <c r="H35">
        <v>110</v>
      </c>
    </row>
    <row r="36" spans="1:8" x14ac:dyDescent="0.35">
      <c r="A36" t="s">
        <v>77</v>
      </c>
      <c r="B36">
        <v>0.5</v>
      </c>
      <c r="D36" t="s">
        <v>77</v>
      </c>
      <c r="E36">
        <v>0.5</v>
      </c>
      <c r="G36" t="s">
        <v>77</v>
      </c>
      <c r="H36">
        <v>0.25</v>
      </c>
    </row>
    <row r="37" spans="1:8" x14ac:dyDescent="0.35">
      <c r="A37" t="s">
        <v>78</v>
      </c>
      <c r="B37" s="1">
        <v>0.03</v>
      </c>
      <c r="D37" t="s">
        <v>78</v>
      </c>
      <c r="E37" s="1">
        <v>0.03</v>
      </c>
      <c r="G37" t="s">
        <v>78</v>
      </c>
      <c r="H37" s="1">
        <v>0.03</v>
      </c>
    </row>
    <row r="38" spans="1:8" x14ac:dyDescent="0.35">
      <c r="A38" t="s">
        <v>79</v>
      </c>
      <c r="B38" s="1">
        <v>0.2</v>
      </c>
      <c r="D38" t="s">
        <v>79</v>
      </c>
      <c r="E38" s="1">
        <v>0.2</v>
      </c>
      <c r="G38" t="s">
        <v>79</v>
      </c>
      <c r="H38" s="1">
        <v>0.2</v>
      </c>
    </row>
    <row r="39" spans="1:8" x14ac:dyDescent="0.35">
      <c r="A39" t="s">
        <v>80</v>
      </c>
      <c r="B39" s="4">
        <f>(LN(B34/B35)+(B37+1/2*B38^2)*B36)/(B38*SQRT(B36))</f>
        <v>0.17677669529663687</v>
      </c>
      <c r="D39" t="s">
        <v>80</v>
      </c>
      <c r="E39" s="4">
        <f>(LN(E34/E35)+(E37+1/2*E38^2)*E36)/(E38*SQRT(E36))</f>
        <v>-0.49716804926083558</v>
      </c>
      <c r="G39" t="s">
        <v>80</v>
      </c>
      <c r="H39" s="4">
        <f>(LN(H34/H35)+(H37+1/2*H38^2)*H36)/(H38*SQRT(H36))</f>
        <v>-0.8281017980432489</v>
      </c>
    </row>
    <row r="40" spans="1:8" x14ac:dyDescent="0.35">
      <c r="A40" t="s">
        <v>81</v>
      </c>
      <c r="B40" s="4">
        <f>(LN(B34/B35)+(B37-1/2*B38^2)*B36)/(B38*SQRT(B36))</f>
        <v>3.5355339059327355E-2</v>
      </c>
      <c r="D40" t="s">
        <v>81</v>
      </c>
      <c r="E40" s="4">
        <f>(LN(E34/E35)+(E37-1/2*E38^2)*E36)/(E38*SQRT(E36))</f>
        <v>-0.63858940549814525</v>
      </c>
      <c r="G40" t="s">
        <v>81</v>
      </c>
      <c r="H40" s="4">
        <f>(LN(H34/H35)+(H37-1/2*H38^2)*H36)/(H38*SQRT(H36))</f>
        <v>-0.92810179804324888</v>
      </c>
    </row>
    <row r="41" spans="1:8" x14ac:dyDescent="0.35">
      <c r="A41" t="s">
        <v>82</v>
      </c>
      <c r="B41" s="4">
        <f>B34*_xlfn.NORM.S.DIST(B39,TRUE)-B35*EXP(-B37*B36)*_xlfn.NORM.S.DIST(B40,TRUE)</f>
        <v>6.3710279421674656</v>
      </c>
      <c r="D41" t="s">
        <v>82</v>
      </c>
      <c r="E41" s="4">
        <f>E34*_xlfn.NORM.S.DIST(E39,TRUE)-E35*EXP(-E37*E36)*_xlfn.NORM.S.DIST(E40,TRUE)</f>
        <v>2.6119022037872206</v>
      </c>
      <c r="G41" t="s">
        <v>82</v>
      </c>
      <c r="H41" s="4">
        <f>H34*_xlfn.NORM.S.DIST(H39,TRUE)-H35*EXP(-H37*H36)*_xlfn.NORM.S.DIST(H40,TRUE)</f>
        <v>1.091343989627493</v>
      </c>
    </row>
    <row r="43" spans="1:8" x14ac:dyDescent="0.35">
      <c r="D43" t="s">
        <v>92</v>
      </c>
      <c r="E43">
        <v>100</v>
      </c>
      <c r="F43">
        <v>110</v>
      </c>
      <c r="G43">
        <v>120</v>
      </c>
    </row>
    <row r="44" spans="1:8" x14ac:dyDescent="0.35">
      <c r="D44" t="s">
        <v>93</v>
      </c>
      <c r="E44">
        <f>10000*E43/100</f>
        <v>10000</v>
      </c>
      <c r="F44">
        <f t="shared" ref="F44:G44" si="1">10000*F43/100</f>
        <v>11000</v>
      </c>
      <c r="G44">
        <f t="shared" si="1"/>
        <v>12000</v>
      </c>
    </row>
    <row r="45" spans="1:8" x14ac:dyDescent="0.35">
      <c r="D45" t="s">
        <v>94</v>
      </c>
      <c r="E45">
        <v>0</v>
      </c>
      <c r="F45">
        <f>10000/$B41*(F43-$B35)</f>
        <v>15696.054217269582</v>
      </c>
      <c r="G45">
        <f>10000/$B41*(G43-$B35)</f>
        <v>31392.108434539165</v>
      </c>
    </row>
    <row r="46" spans="1:8" x14ac:dyDescent="0.35">
      <c r="D46" t="s">
        <v>95</v>
      </c>
      <c r="E46">
        <v>0</v>
      </c>
      <c r="F46">
        <v>0</v>
      </c>
      <c r="G46">
        <f>10000/E41*(G43-E35)</f>
        <v>38286.272684712865</v>
      </c>
    </row>
    <row r="47" spans="1:8" x14ac:dyDescent="0.35">
      <c r="D47" t="s">
        <v>96</v>
      </c>
      <c r="E47">
        <v>0</v>
      </c>
      <c r="F47">
        <v>0</v>
      </c>
      <c r="G47">
        <f>10000/H41*(G43-H35)</f>
        <v>91630.137656352395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322B-F4BE-4504-9CCC-C6378E86F7EF}">
  <dimension ref="A1:H11"/>
  <sheetViews>
    <sheetView workbookViewId="0">
      <selection activeCell="E1" sqref="E1:H11"/>
    </sheetView>
  </sheetViews>
  <sheetFormatPr defaultRowHeight="14.5" x14ac:dyDescent="0.35"/>
  <cols>
    <col min="1" max="1" width="40.6328125" customWidth="1"/>
    <col min="3" max="3" width="11" customWidth="1"/>
    <col min="4" max="4" width="3.7265625" customWidth="1"/>
    <col min="5" max="5" width="26.7265625" customWidth="1"/>
  </cols>
  <sheetData>
    <row r="1" spans="1:8" x14ac:dyDescent="0.35">
      <c r="A1" t="s">
        <v>44</v>
      </c>
      <c r="B1" s="1">
        <v>0.1</v>
      </c>
      <c r="C1" t="s">
        <v>55</v>
      </c>
      <c r="D1">
        <f>B5/(B5+B6)*B2+B6/(B5+B6)*B7</f>
        <v>0.10000000000001703</v>
      </c>
      <c r="E1" t="s">
        <v>44</v>
      </c>
      <c r="F1" s="1">
        <v>0.1</v>
      </c>
      <c r="G1" t="s">
        <v>55</v>
      </c>
      <c r="H1">
        <f>F5/(F5+F6)*F2+F6/(F5+F6)*F7</f>
        <v>9.9999999999965422E-2</v>
      </c>
    </row>
    <row r="2" spans="1:8" x14ac:dyDescent="0.35">
      <c r="A2" t="s">
        <v>45</v>
      </c>
      <c r="B2" s="1">
        <v>0.06</v>
      </c>
      <c r="E2" t="s">
        <v>45</v>
      </c>
      <c r="F2" s="1">
        <v>0.06</v>
      </c>
    </row>
    <row r="3" spans="1:8" x14ac:dyDescent="0.35">
      <c r="A3" t="s">
        <v>46</v>
      </c>
      <c r="B3" s="1">
        <v>0.4</v>
      </c>
      <c r="E3" t="s">
        <v>46</v>
      </c>
      <c r="F3" s="1">
        <v>0.4</v>
      </c>
    </row>
    <row r="4" spans="1:8" x14ac:dyDescent="0.35">
      <c r="A4" t="s">
        <v>48</v>
      </c>
      <c r="B4" s="2">
        <v>1</v>
      </c>
      <c r="C4" t="s">
        <v>47</v>
      </c>
      <c r="E4" t="s">
        <v>48</v>
      </c>
      <c r="F4" s="2">
        <v>1</v>
      </c>
      <c r="G4" t="s">
        <v>47</v>
      </c>
    </row>
    <row r="5" spans="1:8" x14ac:dyDescent="0.35">
      <c r="A5" t="s">
        <v>49</v>
      </c>
      <c r="B5" s="2">
        <v>3</v>
      </c>
      <c r="E5" t="s">
        <v>49</v>
      </c>
      <c r="F5" s="2">
        <v>3</v>
      </c>
    </row>
    <row r="6" spans="1:8" x14ac:dyDescent="0.35">
      <c r="A6" t="s">
        <v>50</v>
      </c>
      <c r="B6" s="2">
        <v>7</v>
      </c>
      <c r="E6" t="s">
        <v>50</v>
      </c>
      <c r="F6" s="2">
        <v>7.72</v>
      </c>
    </row>
    <row r="7" spans="1:8" x14ac:dyDescent="0.35">
      <c r="A7" t="s">
        <v>51</v>
      </c>
      <c r="B7" s="3">
        <v>0.11714285714288149</v>
      </c>
      <c r="E7" t="s">
        <v>51</v>
      </c>
      <c r="F7" s="3">
        <v>0.11554404145072918</v>
      </c>
    </row>
    <row r="8" spans="1:8" x14ac:dyDescent="0.35">
      <c r="A8" t="s">
        <v>52</v>
      </c>
      <c r="B8" s="2">
        <f>B5/(B5+B6)*B2*(1-B3)+B6/(B5+B6)*B7</f>
        <v>9.2800000000017036E-2</v>
      </c>
      <c r="E8" t="s">
        <v>52</v>
      </c>
      <c r="F8" s="2">
        <f>F5/(F5+F6)*F2*(1-F3)+F6/(F5+F6)*F7</f>
        <v>9.3283582089517647E-2</v>
      </c>
    </row>
    <row r="9" spans="1:8" x14ac:dyDescent="0.35">
      <c r="B9" s="2"/>
    </row>
    <row r="10" spans="1:8" x14ac:dyDescent="0.35">
      <c r="A10" t="s">
        <v>53</v>
      </c>
      <c r="B10">
        <f>B4/B8</f>
        <v>10.775862068963539</v>
      </c>
      <c r="E10" t="s">
        <v>53</v>
      </c>
      <c r="F10">
        <f>F4/F8</f>
        <v>10.720000000003974</v>
      </c>
    </row>
    <row r="11" spans="1:8" x14ac:dyDescent="0.35">
      <c r="A11" t="s">
        <v>54</v>
      </c>
      <c r="B11">
        <f>B5*B2*B3</f>
        <v>7.1999999999999995E-2</v>
      </c>
      <c r="E11" t="s">
        <v>54</v>
      </c>
      <c r="F11">
        <f>F5*F2*F3</f>
        <v>7.1999999999999995E-2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1C248-9607-4B4F-A4F3-D8E7BD615983}">
  <dimension ref="A1:D12"/>
  <sheetViews>
    <sheetView workbookViewId="0">
      <selection activeCell="B11" sqref="B11"/>
    </sheetView>
  </sheetViews>
  <sheetFormatPr defaultRowHeight="14.5" x14ac:dyDescent="0.35"/>
  <sheetData>
    <row r="1" spans="1:4" x14ac:dyDescent="0.35">
      <c r="A1">
        <v>1</v>
      </c>
      <c r="B1">
        <v>1</v>
      </c>
      <c r="C1">
        <f>1+A1</f>
        <v>2</v>
      </c>
      <c r="D1">
        <f>1+B1</f>
        <v>2</v>
      </c>
    </row>
    <row r="2" spans="1:4" x14ac:dyDescent="0.35">
      <c r="A2">
        <v>0.5</v>
      </c>
      <c r="B2">
        <v>0.2</v>
      </c>
      <c r="C2">
        <f t="shared" ref="C2:D10" si="0">1+A2</f>
        <v>1.5</v>
      </c>
      <c r="D2">
        <f t="shared" si="0"/>
        <v>1.2</v>
      </c>
    </row>
    <row r="3" spans="1:4" x14ac:dyDescent="0.35">
      <c r="A3">
        <v>2</v>
      </c>
      <c r="B3">
        <v>2.2999999999999998</v>
      </c>
      <c r="C3">
        <f t="shared" si="0"/>
        <v>3</v>
      </c>
      <c r="D3">
        <f t="shared" si="0"/>
        <v>3.3</v>
      </c>
    </row>
    <row r="4" spans="1:4" x14ac:dyDescent="0.35">
      <c r="A4">
        <v>-0.9</v>
      </c>
      <c r="B4">
        <v>-0.75</v>
      </c>
      <c r="C4">
        <f t="shared" si="0"/>
        <v>9.9999999999999978E-2</v>
      </c>
      <c r="D4">
        <f t="shared" si="0"/>
        <v>0.25</v>
      </c>
    </row>
    <row r="5" spans="1:4" x14ac:dyDescent="0.35">
      <c r="A5">
        <v>-0.3</v>
      </c>
      <c r="B5">
        <v>-0.6</v>
      </c>
      <c r="C5">
        <f t="shared" si="0"/>
        <v>0.7</v>
      </c>
      <c r="D5">
        <f t="shared" si="0"/>
        <v>0.4</v>
      </c>
    </row>
    <row r="6" spans="1:4" x14ac:dyDescent="0.35">
      <c r="A6">
        <v>0.3</v>
      </c>
      <c r="B6">
        <v>0.1</v>
      </c>
      <c r="C6">
        <f t="shared" si="0"/>
        <v>1.3</v>
      </c>
      <c r="D6">
        <f t="shared" si="0"/>
        <v>1.1000000000000001</v>
      </c>
    </row>
    <row r="7" spans="1:4" x14ac:dyDescent="0.35">
      <c r="A7">
        <v>-0.7</v>
      </c>
      <c r="B7">
        <v>-0.7</v>
      </c>
      <c r="C7">
        <f t="shared" si="0"/>
        <v>0.30000000000000004</v>
      </c>
      <c r="D7">
        <f t="shared" si="0"/>
        <v>0.30000000000000004</v>
      </c>
    </row>
    <row r="8" spans="1:4" x14ac:dyDescent="0.35">
      <c r="A8">
        <v>0.4</v>
      </c>
      <c r="B8">
        <v>-0.4</v>
      </c>
      <c r="C8">
        <f t="shared" si="0"/>
        <v>1.4</v>
      </c>
      <c r="D8">
        <f t="shared" si="0"/>
        <v>0.6</v>
      </c>
    </row>
    <row r="9" spans="1:4" x14ac:dyDescent="0.35">
      <c r="A9">
        <v>-0.5</v>
      </c>
      <c r="B9">
        <v>-0.5</v>
      </c>
      <c r="C9">
        <f t="shared" si="0"/>
        <v>0.5</v>
      </c>
      <c r="D9">
        <f t="shared" si="0"/>
        <v>0.5</v>
      </c>
    </row>
    <row r="10" spans="1:4" x14ac:dyDescent="0.35">
      <c r="A10">
        <v>-1</v>
      </c>
      <c r="B10">
        <v>0.15</v>
      </c>
      <c r="C10">
        <f t="shared" si="0"/>
        <v>0</v>
      </c>
      <c r="D10">
        <f t="shared" si="0"/>
        <v>1.1499999999999999</v>
      </c>
    </row>
    <row r="11" spans="1:4" x14ac:dyDescent="0.35">
      <c r="A11">
        <f>AVERAGE(A1:A10)</f>
        <v>8.0000000000000029E-2</v>
      </c>
      <c r="B11">
        <f>AVERAGE(B1:B10)</f>
        <v>7.9999999999999988E-2</v>
      </c>
      <c r="C11">
        <f>PRODUCT(C1:C10)</f>
        <v>0</v>
      </c>
      <c r="D11">
        <f>PRODUCT(D1:D10)</f>
        <v>9.0169200000000005E-2</v>
      </c>
    </row>
    <row r="12" spans="1:4" x14ac:dyDescent="0.35">
      <c r="A12">
        <f>_xlfn.VAR.P(A1:A11)</f>
        <v>0.73418181818181816</v>
      </c>
      <c r="B12">
        <f>_xlfn.VAR.P(B1:B11)</f>
        <v>0.7382727272727273</v>
      </c>
      <c r="C12">
        <f>(C11)^(1/10)-1</f>
        <v>-1</v>
      </c>
      <c r="D12">
        <f>(D11)^(1/10)-1</f>
        <v>-0.21384927068685855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Bond Pricing</vt:lpstr>
      <vt:lpstr>mortgage</vt:lpstr>
      <vt:lpstr>expectation</vt:lpstr>
      <vt:lpstr>WACC</vt:lpstr>
      <vt:lpstr>Capital Structure</vt:lpstr>
      <vt:lpstr>Capital Structure 2</vt:lpstr>
      <vt:lpstr>BlackScholes</vt:lpstr>
      <vt:lpstr>capital structureOld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 Chen</dc:creator>
  <cp:lastModifiedBy>Jing Chen</cp:lastModifiedBy>
  <dcterms:created xsi:type="dcterms:W3CDTF">2020-08-01T16:05:25Z</dcterms:created>
  <dcterms:modified xsi:type="dcterms:W3CDTF">2022-01-15T16:05:58Z</dcterms:modified>
</cp:coreProperties>
</file>